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1970" windowHeight="630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Titles" localSheetId="1">'Plan2'!$1:$18</definedName>
  </definedNames>
  <calcPr fullCalcOnLoad="1"/>
</workbook>
</file>

<file path=xl/sharedStrings.xml><?xml version="1.0" encoding="utf-8"?>
<sst xmlns="http://schemas.openxmlformats.org/spreadsheetml/2006/main" count="152" uniqueCount="106">
  <si>
    <t>Data Saldo</t>
  </si>
  <si>
    <t>(juros simples)</t>
  </si>
  <si>
    <t>Juros</t>
  </si>
  <si>
    <t>Débitos</t>
  </si>
  <si>
    <t>Encargos</t>
  </si>
  <si>
    <t>Ajuste Débito</t>
  </si>
  <si>
    <t>Proteção Cartão</t>
  </si>
  <si>
    <t>Anuidade</t>
  </si>
  <si>
    <t>Compras</t>
  </si>
  <si>
    <t>Caixa Eletr</t>
  </si>
  <si>
    <t xml:space="preserve">Compras e Saques </t>
  </si>
  <si>
    <t>Créditos</t>
  </si>
  <si>
    <t>Pagamentos</t>
  </si>
  <si>
    <t>Total Devedor  Principal e Juros</t>
  </si>
  <si>
    <t>Saldo</t>
  </si>
  <si>
    <t>Médio</t>
  </si>
  <si>
    <t>Dias</t>
  </si>
  <si>
    <t>Média</t>
  </si>
  <si>
    <t>Mês anter</t>
  </si>
  <si>
    <t xml:space="preserve">Saldo </t>
  </si>
  <si>
    <t xml:space="preserve">Médio </t>
  </si>
  <si>
    <t>Do mês</t>
  </si>
  <si>
    <t>Do Mês</t>
  </si>
  <si>
    <t>Mês</t>
  </si>
  <si>
    <t>Proximo</t>
  </si>
  <si>
    <t>JOSÉ ROBERTO AUGUSTO CORRÊA</t>
  </si>
  <si>
    <t>Anexo: 01</t>
  </si>
  <si>
    <t>Folha : 01</t>
  </si>
  <si>
    <t>(Juros Simples)</t>
  </si>
  <si>
    <t xml:space="preserve">Legislação </t>
  </si>
  <si>
    <t>Com Juros</t>
  </si>
  <si>
    <t xml:space="preserve">          PERITO CONTADOR</t>
  </si>
  <si>
    <t>Índice anual………………………………………..</t>
  </si>
  <si>
    <t>Transformação da taxa de juros nominais</t>
  </si>
  <si>
    <t>( - )</t>
  </si>
  <si>
    <t>( = )</t>
  </si>
  <si>
    <t>Anexo: 03</t>
  </si>
  <si>
    <t>Folha: 01</t>
  </si>
  <si>
    <t xml:space="preserve">        CONTEÚDO</t>
  </si>
  <si>
    <t>VALORES</t>
  </si>
  <si>
    <t>APURADOS</t>
  </si>
  <si>
    <t>Descrição dos Juros:  Agente Financeiro</t>
  </si>
  <si>
    <t>Obs.: Taxa apurada através de analise da fatura</t>
  </si>
  <si>
    <t xml:space="preserve">            CRC/SP 156.003</t>
  </si>
  <si>
    <t>DEMONSTRATIVO DO SALDO DEVEDOR - CARTÃO DE CRÉDITO GOLDCARD VISA APURADO PRESENTE LAUDO COM JUROS SIMPLES.</t>
  </si>
  <si>
    <t>(número do cartão 4406 9410 3986 3003)</t>
  </si>
  <si>
    <t>CRÉDITOS LIMITES</t>
  </si>
  <si>
    <t>SALDO COM JUROS</t>
  </si>
  <si>
    <t>Saldo Sem Juros</t>
  </si>
  <si>
    <t xml:space="preserve">DEMONSTRATIVO DAS TAXAS DE JUROS APLICADO PELO REQUERENTE DURANTE O  CONTRATO - CARTÃO DE CRÉDITO </t>
  </si>
  <si>
    <t>CAPITALIZAÇÃO ANUAL</t>
  </si>
  <si>
    <t>Principal = 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</si>
  <si>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Juros =..................................................................................................................................................................................................................................................................................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</si>
  <si>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Saldo Devedor = ...............................................................................................................................................................</t>
  </si>
  <si>
    <t>Anexo: 04</t>
  </si>
  <si>
    <t>PLANILHA DE JUROS DE MORA E ATUALIZAÇÃO MONETÁRIA SOBRE AS DIFERENÇAS APURADAS</t>
  </si>
  <si>
    <t>Período</t>
  </si>
  <si>
    <t>Anexo: 4</t>
  </si>
  <si>
    <t>I    - VALOR PRINCIPAL APURADA 25/08/2006</t>
  </si>
  <si>
    <t>R$</t>
  </si>
  <si>
    <t xml:space="preserve">II   - VALORES DA CORREÇÃO MONETÁRIA </t>
  </si>
  <si>
    <t xml:space="preserve">III   - VALORES DOS JUROS </t>
  </si>
  <si>
    <t>SALDO DEVEDOR DEVIDO PELO REQUERIDO VIGENTE 01/06/2015</t>
  </si>
  <si>
    <t>CONCLUSÃO CONTRATO CARTÃO DE CRÉDITO</t>
  </si>
  <si>
    <t>IV - VALOR DA MULTA CONVENCIONAL 2%</t>
  </si>
  <si>
    <t>TOTAL DEVIDO PELO REQUERIDO VIGENTE 01/06/2015</t>
  </si>
  <si>
    <t xml:space="preserve">TAXA VARIAVEL MÊS        % </t>
  </si>
  <si>
    <t>Data            Saldo</t>
  </si>
  <si>
    <t>AÇÃO :  PROCEDIMENTO ORDINÁRIO (em geral)</t>
  </si>
  <si>
    <t xml:space="preserve">Título: DEMONSTRATIVO DAS TAXAS DE JUROS APLICADO PELO REQUERENTE DURANTE O CONTRATO - CARTÃO DE CRÉDITO </t>
  </si>
  <si>
    <t xml:space="preserve">            (Número do Cartão 4406 9410 3986 3003)</t>
  </si>
  <si>
    <t>AÇÃO: PROCEDIMENTO ORDINÁRIO (em geral)</t>
  </si>
  <si>
    <t>NOVO SALDO COM JUROS</t>
  </si>
  <si>
    <t>TAXA VARIÁVEL MÊS (%)</t>
  </si>
  <si>
    <t>Juros Simples</t>
  </si>
  <si>
    <t>Taxas Serviços e Encargos (Juros)</t>
  </si>
  <si>
    <t>Multa e Outros</t>
  </si>
  <si>
    <t>Outros Estorno</t>
  </si>
  <si>
    <t>Taxas Serviços e Encargos (juros)</t>
  </si>
  <si>
    <t>Multa e outros</t>
  </si>
  <si>
    <t>outros Estorno</t>
  </si>
  <si>
    <t>JUROS ACUMULADOS</t>
  </si>
  <si>
    <t>Nº de mês</t>
  </si>
  <si>
    <t>PRINCIPAL Apurados $</t>
  </si>
  <si>
    <t>Tabela Correção Monetária TJSP Época Própria</t>
  </si>
  <si>
    <t>Tabela Correção Monetária TJSP Vigente 28/02/2014</t>
  </si>
  <si>
    <t>Valor Correção Monetária Vigente 01/06/2015</t>
  </si>
  <si>
    <t>Taxa Juros de Mora desde Citação 07/07/2008 fls. 118</t>
  </si>
  <si>
    <t>Valor Juros de Mora Vigente 28/02/2014</t>
  </si>
  <si>
    <t>Valor Principal, Correção Monetária e Juros Mora Vigente 01/06/2015</t>
  </si>
  <si>
    <t>PROCESSO Nº: XXX.XX.XXXX.XXXXXX-X/XXXXXX-XXX(XXXX/XX)</t>
  </si>
  <si>
    <t>REQUERENTE: XXXXXXXXXXXXXXXXXXXX</t>
  </si>
  <si>
    <t>REQUERIDO: XXXXXXXXXXXXXXXXXXXX</t>
  </si>
  <si>
    <t>PROCESSO Nº: XXX.XX.XXXX.XXXXX-X/XXXXXX-XXX(XXXX/XX)</t>
  </si>
  <si>
    <t>REQUERENTE: XXXXXXXXXXXXXXXXXXXXXXXXXXXXXX</t>
  </si>
  <si>
    <t>REQUERIDO: XXXXXXXXXXXXXXXXXXXXXXXXXXXX</t>
  </si>
  <si>
    <t>PROCESSO Nº XXXXXXXXXXXXXXXXXXXXXXXX</t>
  </si>
  <si>
    <t>REQUERENTE : XXXXXXXXXXXXXXXXXXXXXXXXXXXXXXXXX</t>
  </si>
  <si>
    <t>REQUERIDO : XXXXXXXXXXXXXXXXXXXXXXXXXX</t>
  </si>
  <si>
    <t>PROCESSO Nº: XXXXXXXXXXXXXXXXXXXXXXXXXXXXXXXXXX</t>
  </si>
  <si>
    <t>REQUERIDO: XXXXXXXXXXXXXXXXXXXXXXXXXXXXXX</t>
  </si>
  <si>
    <t>PROCESSO Nº: XXXXXXXXXXXXXXXXXXXXXXXXXXXXXXXXXXX</t>
  </si>
  <si>
    <t>REQUERIDO: XXXXXXXXXXXXXXXXXXXXXXXXXXXXX</t>
  </si>
  <si>
    <t>PROCESSO Nº: XXXXXXXXXXXXXXXXXXXXXXXXXXXXXXXX</t>
  </si>
  <si>
    <t>REQUERENTE: XXXXXXXXXXXXXXXXXXXXXXXXXX</t>
  </si>
  <si>
    <t>REQUERIDO: XXXXXXXXXXXXXXXXXXXXXXXX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</si>
</sst>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"/>
    <numFmt numFmtId="185" formatCode="0.000"/>
    <numFmt numFmtId="186" formatCode="0.000000"/>
    <numFmt numFmtId="187" formatCode="_(* #,##0.0000_);_(* \(#,##0.0000\);_(* &quot;-&quot;??_);_(@_)"/>
    <numFmt numFmtId="188" formatCode="_(* #,##0.00000_);_(* \(#,##0.00000\);_(* &quot;-&quot;??_);_(@_)"/>
    <numFmt numFmtId="189" formatCode="_(* #,##0.000000000_);_(* \(#,##0.000000000\);_(* &quot;-&quot;??_);_(@_)"/>
    <numFmt numFmtId="190" formatCode="[$€-2]\ #,##0.00_);[Red]\([$€-2]\ #,##0.00\)"/>
    <numFmt numFmtId="191" formatCode="_(* #,##0.000_);_(* \(#,##0.000\);_(* &quot;-&quot;??_);_(@_)"/>
    <numFmt numFmtId="192" formatCode="_(* #,##0.000000_);_(* \(#,##0.000000\);_(* &quot;-&quot;??_);_(@_)"/>
    <numFmt numFmtId="193" formatCode="0.00000"/>
    <numFmt numFmtId="194" formatCode="0.0000000"/>
    <numFmt numFmtId="195" formatCode="dd/mm/yy"/>
    <numFmt numFmtId="196" formatCode="#,##0.000000"/>
    <numFmt numFmtId="197" formatCode="#,##0.0"/>
    <numFmt numFmtId="198" formatCode="[$-416]dddd\,\ d&quot; de &quot;mmmm&quot; de &quot;yyyy"/>
  </numFmts>
  <fonts count="49">
    <font>
      <sz val="10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u val="singleAccounting"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 quotePrefix="1">
      <alignment horizontal="left"/>
    </xf>
    <xf numFmtId="17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171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171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Border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186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187" fontId="1" fillId="0" borderId="0" xfId="53" applyNumberFormat="1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4" fontId="1" fillId="0" borderId="19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/>
    </xf>
    <xf numFmtId="14" fontId="3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4" fontId="3" fillId="0" borderId="1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53" applyNumberFormat="1" applyFont="1" applyAlignment="1">
      <alignment horizontal="center"/>
    </xf>
    <xf numFmtId="4" fontId="3" fillId="0" borderId="21" xfId="0" applyNumberFormat="1" applyFont="1" applyBorder="1" applyAlignment="1">
      <alignment horizontal="left" wrapText="1"/>
    </xf>
    <xf numFmtId="4" fontId="1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186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8" fillId="0" borderId="0" xfId="0" applyFont="1" applyBorder="1" applyAlignment="1">
      <alignment/>
    </xf>
    <xf numFmtId="186" fontId="1" fillId="0" borderId="0" xfId="0" applyNumberFormat="1" applyFont="1" applyBorder="1" applyAlignment="1">
      <alignment horizontal="left"/>
    </xf>
    <xf numFmtId="187" fontId="1" fillId="0" borderId="0" xfId="53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83" fontId="1" fillId="0" borderId="0" xfId="53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3" fontId="3" fillId="0" borderId="0" xfId="53" applyNumberFormat="1" applyFont="1" applyBorder="1" applyAlignment="1">
      <alignment/>
    </xf>
    <xf numFmtId="14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95" fontId="1" fillId="0" borderId="19" xfId="0" applyNumberFormat="1" applyFont="1" applyBorder="1" applyAlignment="1">
      <alignment/>
    </xf>
    <xf numFmtId="196" fontId="1" fillId="0" borderId="19" xfId="0" applyNumberFormat="1" applyFont="1" applyBorder="1" applyAlignment="1">
      <alignment/>
    </xf>
    <xf numFmtId="186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2" fontId="1" fillId="0" borderId="19" xfId="0" applyNumberFormat="1" applyFont="1" applyBorder="1" applyAlignment="1">
      <alignment/>
    </xf>
    <xf numFmtId="171" fontId="1" fillId="0" borderId="0" xfId="53" applyFont="1" applyAlignment="1">
      <alignment/>
    </xf>
    <xf numFmtId="189" fontId="1" fillId="0" borderId="0" xfId="53" applyNumberFormat="1" applyFont="1" applyAlignment="1">
      <alignment/>
    </xf>
    <xf numFmtId="187" fontId="1" fillId="0" borderId="0" xfId="53" applyNumberFormat="1" applyFont="1" applyAlignment="1">
      <alignment horizontal="center"/>
    </xf>
    <xf numFmtId="186" fontId="1" fillId="0" borderId="0" xfId="0" applyNumberFormat="1" applyFont="1" applyAlignment="1">
      <alignment horizontal="left"/>
    </xf>
    <xf numFmtId="188" fontId="1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4" sqref="A4"/>
    </sheetView>
  </sheetViews>
  <sheetFormatPr defaultColWidth="9.140625" defaultRowHeight="12" customHeight="1"/>
  <cols>
    <col min="1" max="1" width="9.140625" style="1" customWidth="1"/>
    <col min="2" max="2" width="3.57421875" style="1" customWidth="1"/>
    <col min="3" max="3" width="6.28125" style="1" customWidth="1"/>
    <col min="4" max="4" width="6.8515625" style="1" customWidth="1"/>
    <col min="5" max="5" width="6.57421875" style="1" customWidth="1"/>
    <col min="6" max="6" width="14.28125" style="1" customWidth="1"/>
    <col min="7" max="16384" width="9.140625" style="1" customWidth="1"/>
  </cols>
  <sheetData>
    <row r="1" spans="1:8" ht="12" customHeight="1">
      <c r="A1" s="26" t="s">
        <v>25</v>
      </c>
      <c r="B1" s="26"/>
      <c r="C1" s="26"/>
      <c r="D1" s="26"/>
      <c r="G1" s="35" t="s">
        <v>26</v>
      </c>
      <c r="H1" s="2"/>
    </row>
    <row r="2" spans="1:8" ht="12" customHeight="1">
      <c r="A2" s="26" t="s">
        <v>31</v>
      </c>
      <c r="B2" s="26"/>
      <c r="C2" s="26"/>
      <c r="D2" s="26"/>
      <c r="G2" s="35" t="s">
        <v>27</v>
      </c>
      <c r="H2" s="2"/>
    </row>
    <row r="3" spans="1:8" ht="12" customHeight="1">
      <c r="A3" s="26" t="s">
        <v>43</v>
      </c>
      <c r="B3" s="26"/>
      <c r="C3" s="26"/>
      <c r="D3" s="26"/>
      <c r="H3" s="2"/>
    </row>
    <row r="5" spans="1:7" ht="12" customHeight="1">
      <c r="A5" s="95" t="s">
        <v>93</v>
      </c>
      <c r="B5" s="95"/>
      <c r="C5" s="95"/>
      <c r="D5" s="95"/>
      <c r="E5" s="95"/>
      <c r="F5" s="95"/>
      <c r="G5" s="95"/>
    </row>
    <row r="6" spans="1:7" ht="12" customHeight="1">
      <c r="A6" s="95" t="s">
        <v>71</v>
      </c>
      <c r="B6" s="95"/>
      <c r="C6" s="95"/>
      <c r="D6" s="95"/>
      <c r="E6" s="95"/>
      <c r="F6" s="95"/>
      <c r="G6" s="95"/>
    </row>
    <row r="7" spans="1:7" ht="12" customHeight="1">
      <c r="A7" s="95" t="s">
        <v>94</v>
      </c>
      <c r="B7" s="95"/>
      <c r="C7" s="95"/>
      <c r="D7" s="95"/>
      <c r="E7" s="95"/>
      <c r="F7" s="95"/>
      <c r="G7" s="95"/>
    </row>
    <row r="8" spans="1:7" ht="12" customHeight="1">
      <c r="A8" s="95" t="s">
        <v>95</v>
      </c>
      <c r="B8" s="95"/>
      <c r="C8" s="95"/>
      <c r="D8" s="95"/>
      <c r="E8" s="95"/>
      <c r="F8" s="95"/>
      <c r="G8" s="95"/>
    </row>
    <row r="9" ht="12" customHeight="1">
      <c r="A9" s="26"/>
    </row>
    <row r="10" ht="12" customHeight="1">
      <c r="A10" s="26"/>
    </row>
    <row r="11" ht="12" customHeight="1">
      <c r="A11" s="1" t="s">
        <v>41</v>
      </c>
    </row>
    <row r="12" ht="12" customHeight="1">
      <c r="A12" s="26"/>
    </row>
    <row r="16" spans="1:5" ht="12" customHeight="1">
      <c r="A16" s="1" t="s">
        <v>32</v>
      </c>
      <c r="D16" s="92">
        <v>136.6</v>
      </c>
      <c r="E16" s="92"/>
    </row>
    <row r="19" ht="12" customHeight="1">
      <c r="A19" s="1" t="s">
        <v>33</v>
      </c>
    </row>
    <row r="20" ht="12" customHeight="1">
      <c r="F20" s="90"/>
    </row>
    <row r="21" spans="2:3" ht="12" customHeight="1">
      <c r="B21" s="93">
        <f>1/12</f>
        <v>0.08333333333333333</v>
      </c>
      <c r="C21" s="93"/>
    </row>
    <row r="22" spans="1:6" ht="12" customHeight="1">
      <c r="A22" s="94">
        <f>D16/100+1</f>
        <v>2.3659999999999997</v>
      </c>
      <c r="B22" s="94"/>
      <c r="C22" s="2" t="s">
        <v>34</v>
      </c>
      <c r="D22" s="90">
        <v>1</v>
      </c>
      <c r="E22" s="39" t="s">
        <v>35</v>
      </c>
      <c r="F22" s="91">
        <f>(A22^B21)-D22</f>
        <v>0.07440468894552499</v>
      </c>
    </row>
    <row r="24" ht="12" customHeight="1">
      <c r="A24" s="1" t="s">
        <v>42</v>
      </c>
    </row>
  </sheetData>
  <sheetProtection/>
  <mergeCells count="7">
    <mergeCell ref="D16:E16"/>
    <mergeCell ref="B21:C21"/>
    <mergeCell ref="A22:B22"/>
    <mergeCell ref="A5:G5"/>
    <mergeCell ref="A6:G6"/>
    <mergeCell ref="A7:G7"/>
    <mergeCell ref="A8:G8"/>
  </mergeCells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40">
      <selection activeCell="A9" sqref="A9"/>
    </sheetView>
  </sheetViews>
  <sheetFormatPr defaultColWidth="9.140625" defaultRowHeight="12" customHeight="1"/>
  <cols>
    <col min="1" max="1" width="10.7109375" style="1" customWidth="1"/>
    <col min="2" max="2" width="7.7109375" style="1" customWidth="1"/>
    <col min="3" max="3" width="7.57421875" style="1" customWidth="1"/>
    <col min="4" max="4" width="9.8515625" style="1" customWidth="1"/>
    <col min="5" max="5" width="8.140625" style="1" customWidth="1"/>
    <col min="6" max="6" width="7.421875" style="1" customWidth="1"/>
    <col min="7" max="7" width="8.28125" style="1" customWidth="1"/>
    <col min="8" max="8" width="8.57421875" style="1" customWidth="1"/>
    <col min="9" max="9" width="11.421875" style="1" customWidth="1"/>
    <col min="10" max="10" width="8.7109375" style="1" customWidth="1"/>
    <col min="11" max="11" width="13.00390625" style="1" customWidth="1"/>
    <col min="12" max="12" width="13.8515625" style="1" customWidth="1"/>
    <col min="13" max="16384" width="9.140625" style="1" customWidth="1"/>
  </cols>
  <sheetData>
    <row r="1" spans="1:8" ht="12" customHeight="1">
      <c r="A1" s="26" t="s">
        <v>25</v>
      </c>
      <c r="B1" s="26"/>
      <c r="C1" s="26"/>
      <c r="D1" s="26"/>
      <c r="F1" s="26"/>
      <c r="G1" s="26"/>
      <c r="H1" s="35"/>
    </row>
    <row r="2" spans="1:8" ht="12" customHeight="1">
      <c r="A2" s="26" t="s">
        <v>31</v>
      </c>
      <c r="B2" s="26"/>
      <c r="C2" s="26"/>
      <c r="D2" s="26"/>
      <c r="F2" s="26"/>
      <c r="G2" s="26"/>
      <c r="H2" s="35"/>
    </row>
    <row r="3" spans="1:8" ht="12" customHeight="1">
      <c r="A3" s="26" t="s">
        <v>43</v>
      </c>
      <c r="B3" s="26"/>
      <c r="C3" s="26"/>
      <c r="D3" s="26"/>
      <c r="F3" s="26"/>
      <c r="G3" s="26"/>
      <c r="H3" s="26"/>
    </row>
    <row r="5" spans="1:7" ht="12" customHeight="1">
      <c r="A5" s="36" t="s">
        <v>96</v>
      </c>
      <c r="B5" s="36"/>
      <c r="C5" s="36"/>
      <c r="D5" s="36"/>
      <c r="E5" s="36"/>
      <c r="F5" s="36"/>
      <c r="G5" s="36"/>
    </row>
    <row r="6" spans="1:7" ht="12" customHeight="1">
      <c r="A6" s="36" t="s">
        <v>68</v>
      </c>
      <c r="B6" s="36"/>
      <c r="C6" s="36"/>
      <c r="D6" s="36"/>
      <c r="E6" s="36"/>
      <c r="F6" s="36"/>
      <c r="G6" s="36"/>
    </row>
    <row r="7" spans="1:7" ht="12" customHeight="1">
      <c r="A7" s="36" t="s">
        <v>97</v>
      </c>
      <c r="B7" s="36"/>
      <c r="C7" s="36"/>
      <c r="D7" s="36"/>
      <c r="E7" s="36"/>
      <c r="F7" s="36"/>
      <c r="G7" s="36"/>
    </row>
    <row r="8" spans="1:7" ht="12" customHeight="1">
      <c r="A8" s="36" t="s">
        <v>98</v>
      </c>
      <c r="B8" s="36"/>
      <c r="C8" s="36"/>
      <c r="D8" s="36"/>
      <c r="E8" s="36"/>
      <c r="F8" s="36"/>
      <c r="G8" s="36"/>
    </row>
    <row r="10" spans="1:5" ht="12" customHeight="1">
      <c r="A10" s="26" t="s">
        <v>69</v>
      </c>
      <c r="C10" s="34"/>
      <c r="E10" s="37"/>
    </row>
    <row r="11" ht="12" customHeight="1">
      <c r="A11" s="26" t="s">
        <v>70</v>
      </c>
    </row>
    <row r="13" spans="1:12" s="44" customFormat="1" ht="14.25" customHeight="1">
      <c r="A13" s="115" t="s">
        <v>74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12" customHeight="1">
      <c r="A14" s="38" t="s">
        <v>0</v>
      </c>
      <c r="B14" s="117" t="s">
        <v>3</v>
      </c>
      <c r="C14" s="118"/>
      <c r="D14" s="118"/>
      <c r="E14" s="118"/>
      <c r="F14" s="118"/>
      <c r="G14" s="118"/>
      <c r="H14" s="119"/>
      <c r="I14" s="111" t="s">
        <v>11</v>
      </c>
      <c r="J14" s="120"/>
      <c r="K14" s="111" t="s">
        <v>29</v>
      </c>
      <c r="L14" s="120"/>
    </row>
    <row r="15" spans="2:12" ht="12" customHeight="1">
      <c r="B15" s="103" t="s">
        <v>5</v>
      </c>
      <c r="C15" s="104"/>
      <c r="D15" s="103" t="s">
        <v>10</v>
      </c>
      <c r="E15" s="104"/>
      <c r="F15" s="103" t="s">
        <v>75</v>
      </c>
      <c r="G15" s="104"/>
      <c r="H15" s="109" t="s">
        <v>76</v>
      </c>
      <c r="I15" s="107" t="s">
        <v>12</v>
      </c>
      <c r="J15" s="111" t="s">
        <v>77</v>
      </c>
      <c r="K15" s="100" t="s">
        <v>28</v>
      </c>
      <c r="L15" s="100"/>
    </row>
    <row r="16" spans="2:12" ht="12" customHeight="1">
      <c r="B16" s="105"/>
      <c r="C16" s="106"/>
      <c r="D16" s="105"/>
      <c r="E16" s="106"/>
      <c r="F16" s="105"/>
      <c r="G16" s="106"/>
      <c r="H16" s="110"/>
      <c r="I16" s="108"/>
      <c r="J16" s="112"/>
      <c r="K16" s="100"/>
      <c r="L16" s="100"/>
    </row>
    <row r="17" spans="2:12" ht="12" customHeight="1">
      <c r="B17" s="101" t="s">
        <v>6</v>
      </c>
      <c r="C17" s="113" t="s">
        <v>7</v>
      </c>
      <c r="D17" s="113" t="s">
        <v>9</v>
      </c>
      <c r="E17" s="113" t="s">
        <v>8</v>
      </c>
      <c r="F17" s="113" t="s">
        <v>4</v>
      </c>
      <c r="G17" s="113" t="s">
        <v>2</v>
      </c>
      <c r="H17" s="39"/>
      <c r="I17" s="39"/>
      <c r="J17" s="39"/>
      <c r="K17" s="96" t="s">
        <v>72</v>
      </c>
      <c r="L17" s="98" t="s">
        <v>73</v>
      </c>
    </row>
    <row r="18" spans="2:12" ht="12" customHeight="1">
      <c r="B18" s="102"/>
      <c r="C18" s="114"/>
      <c r="D18" s="114"/>
      <c r="E18" s="114"/>
      <c r="F18" s="114"/>
      <c r="G18" s="114"/>
      <c r="K18" s="97"/>
      <c r="L18" s="99"/>
    </row>
    <row r="19" spans="2:11" ht="12" customHeight="1">
      <c r="B19" s="39"/>
      <c r="K19" s="40"/>
    </row>
    <row r="20" spans="1:12" ht="12" customHeight="1">
      <c r="A20" s="41">
        <v>38377</v>
      </c>
      <c r="B20" s="42"/>
      <c r="C20" s="42"/>
      <c r="D20" s="42">
        <v>6257.09</v>
      </c>
      <c r="E20" s="42">
        <v>-113.76</v>
      </c>
      <c r="F20" s="42"/>
      <c r="G20" s="42">
        <v>457.09</v>
      </c>
      <c r="H20" s="42"/>
      <c r="I20" s="42"/>
      <c r="J20" s="42"/>
      <c r="K20" s="45">
        <v>6600.42</v>
      </c>
      <c r="L20" s="42">
        <f>K20/(K20-G20)-1</f>
        <v>0.07440427260134164</v>
      </c>
    </row>
    <row r="21" spans="1:13" ht="12" customHeight="1">
      <c r="A21" s="41">
        <f>A20+31</f>
        <v>38408</v>
      </c>
      <c r="B21" s="42">
        <v>0</v>
      </c>
      <c r="C21" s="42"/>
      <c r="D21" s="42">
        <v>616.28</v>
      </c>
      <c r="E21" s="42">
        <v>53.69</v>
      </c>
      <c r="F21" s="42"/>
      <c r="G21" s="42">
        <v>650.78</v>
      </c>
      <c r="H21" s="42"/>
      <c r="I21" s="42">
        <v>1660.05</v>
      </c>
      <c r="J21" s="42"/>
      <c r="K21" s="42">
        <v>6261.12</v>
      </c>
      <c r="L21" s="42">
        <f aca="true" t="shared" si="0" ref="L21:L39">K21/(K21-G21)-1</f>
        <v>0.11599653496936013</v>
      </c>
      <c r="M21" s="40"/>
    </row>
    <row r="22" spans="1:13" ht="12" customHeight="1">
      <c r="A22" s="41">
        <f>A21+28</f>
        <v>38436</v>
      </c>
      <c r="B22" s="42">
        <v>0</v>
      </c>
      <c r="C22" s="42"/>
      <c r="D22" s="42">
        <v>486.01</v>
      </c>
      <c r="E22" s="42">
        <v>132.92</v>
      </c>
      <c r="F22" s="42"/>
      <c r="G22" s="42">
        <v>565.92</v>
      </c>
      <c r="H22" s="42"/>
      <c r="I22" s="42">
        <v>626.11</v>
      </c>
      <c r="J22" s="42"/>
      <c r="K22" s="42">
        <v>6819.86</v>
      </c>
      <c r="L22" s="42">
        <f t="shared" si="0"/>
        <v>0.09049015500628399</v>
      </c>
      <c r="M22" s="40"/>
    </row>
    <row r="23" spans="1:12" ht="12" customHeight="1">
      <c r="A23" s="41">
        <f>A22+31</f>
        <v>38467</v>
      </c>
      <c r="B23" s="42">
        <v>0</v>
      </c>
      <c r="C23" s="42"/>
      <c r="D23" s="42">
        <v>549.09</v>
      </c>
      <c r="E23" s="42">
        <v>223.47</v>
      </c>
      <c r="F23" s="42"/>
      <c r="G23" s="42">
        <v>700.16</v>
      </c>
      <c r="H23" s="42"/>
      <c r="I23" s="42">
        <v>681.99</v>
      </c>
      <c r="J23" s="42"/>
      <c r="K23" s="42">
        <v>7610.59</v>
      </c>
      <c r="L23" s="42">
        <f t="shared" si="0"/>
        <v>0.10131931008634765</v>
      </c>
    </row>
    <row r="24" spans="1:12" ht="12" customHeight="1">
      <c r="A24" s="41">
        <f>A23+30</f>
        <v>38497</v>
      </c>
      <c r="B24" s="42">
        <v>0</v>
      </c>
      <c r="C24" s="42"/>
      <c r="D24" s="42">
        <v>508.52</v>
      </c>
      <c r="E24" s="42">
        <v>210.66</v>
      </c>
      <c r="F24" s="42"/>
      <c r="G24" s="42">
        <v>726.08</v>
      </c>
      <c r="H24" s="42"/>
      <c r="I24" s="42">
        <v>761.06</v>
      </c>
      <c r="J24" s="42"/>
      <c r="K24" s="42">
        <v>8294.79</v>
      </c>
      <c r="L24" s="42">
        <f t="shared" si="0"/>
        <v>0.09593180343810248</v>
      </c>
    </row>
    <row r="25" spans="1:12" ht="12" customHeight="1">
      <c r="A25" s="41">
        <f>A24+31</f>
        <v>38528</v>
      </c>
      <c r="B25" s="42">
        <v>0</v>
      </c>
      <c r="C25" s="42"/>
      <c r="D25" s="42">
        <v>508.31</v>
      </c>
      <c r="E25" s="42">
        <v>211.87</v>
      </c>
      <c r="F25" s="42"/>
      <c r="G25" s="42">
        <v>802.2</v>
      </c>
      <c r="H25" s="42"/>
      <c r="I25" s="42">
        <v>829.48</v>
      </c>
      <c r="J25" s="42"/>
      <c r="K25" s="42">
        <v>8987.69</v>
      </c>
      <c r="L25" s="42">
        <f t="shared" si="0"/>
        <v>0.09800268523936873</v>
      </c>
    </row>
    <row r="26" spans="1:12" ht="12" customHeight="1">
      <c r="A26" s="41">
        <f>A25+30</f>
        <v>38558</v>
      </c>
      <c r="B26" s="42">
        <v>0</v>
      </c>
      <c r="C26" s="42"/>
      <c r="D26" s="42">
        <v>498.09</v>
      </c>
      <c r="E26" s="42">
        <v>145.88</v>
      </c>
      <c r="F26" s="42"/>
      <c r="G26" s="42">
        <v>860.07</v>
      </c>
      <c r="H26" s="42"/>
      <c r="I26" s="42">
        <v>898.78</v>
      </c>
      <c r="J26" s="42"/>
      <c r="K26" s="42">
        <v>9592.95</v>
      </c>
      <c r="L26" s="42">
        <f t="shared" si="0"/>
        <v>0.09848640998158675</v>
      </c>
    </row>
    <row r="27" spans="1:12" ht="12" customHeight="1">
      <c r="A27" s="41">
        <f>A26+31</f>
        <v>38589</v>
      </c>
      <c r="B27" s="42">
        <v>0</v>
      </c>
      <c r="C27" s="42"/>
      <c r="D27" s="42">
        <v>509.22</v>
      </c>
      <c r="E27" s="42">
        <v>-96.61</v>
      </c>
      <c r="F27" s="42"/>
      <c r="G27" s="42">
        <v>960.1</v>
      </c>
      <c r="H27" s="42"/>
      <c r="I27" s="42">
        <v>384.54</v>
      </c>
      <c r="J27" s="42"/>
      <c r="K27" s="42">
        <v>10581.12</v>
      </c>
      <c r="L27" s="42">
        <f t="shared" si="0"/>
        <v>0.09979191395506914</v>
      </c>
    </row>
    <row r="28" spans="1:12" ht="12" customHeight="1">
      <c r="A28" s="41">
        <f>A27+31</f>
        <v>38620</v>
      </c>
      <c r="B28" s="42">
        <v>0</v>
      </c>
      <c r="C28" s="42"/>
      <c r="D28" s="42">
        <v>513.8</v>
      </c>
      <c r="E28" s="42">
        <v>-130.09</v>
      </c>
      <c r="F28" s="42"/>
      <c r="G28" s="42">
        <v>1011.72</v>
      </c>
      <c r="H28" s="42"/>
      <c r="I28" s="42">
        <v>1632.88</v>
      </c>
      <c r="J28" s="42"/>
      <c r="K28" s="42">
        <v>10343.67</v>
      </c>
      <c r="L28" s="42">
        <f t="shared" si="0"/>
        <v>0.10841464002700385</v>
      </c>
    </row>
    <row r="29" spans="1:12" ht="12" customHeight="1">
      <c r="A29" s="41">
        <f>A28+30</f>
        <v>38650</v>
      </c>
      <c r="B29" s="42">
        <v>0</v>
      </c>
      <c r="C29" s="42"/>
      <c r="D29" s="42">
        <v>489.75</v>
      </c>
      <c r="E29" s="42">
        <v>-75.43</v>
      </c>
      <c r="F29" s="42"/>
      <c r="G29" s="42">
        <v>998.71</v>
      </c>
      <c r="H29" s="42"/>
      <c r="I29" s="42">
        <v>76.9</v>
      </c>
      <c r="J29" s="42"/>
      <c r="K29" s="42">
        <v>11679.8</v>
      </c>
      <c r="L29" s="42">
        <f t="shared" si="0"/>
        <v>0.09350262941329013</v>
      </c>
    </row>
    <row r="30" spans="1:12" ht="12" customHeight="1">
      <c r="A30" s="41">
        <f>A29+31</f>
        <v>38681</v>
      </c>
      <c r="B30" s="42">
        <v>0</v>
      </c>
      <c r="C30" s="42"/>
      <c r="D30" s="42">
        <v>503.48</v>
      </c>
      <c r="E30" s="42">
        <v>-157.15</v>
      </c>
      <c r="F30" s="42"/>
      <c r="G30" s="42">
        <v>1090.13</v>
      </c>
      <c r="H30" s="42"/>
      <c r="I30" s="42">
        <v>1320.04</v>
      </c>
      <c r="J30" s="42"/>
      <c r="K30" s="42">
        <v>11796.22</v>
      </c>
      <c r="L30" s="42">
        <f t="shared" si="0"/>
        <v>0.10182335474482263</v>
      </c>
    </row>
    <row r="31" spans="1:12" ht="12" customHeight="1">
      <c r="A31" s="41">
        <f>A30+30</f>
        <v>38711</v>
      </c>
      <c r="B31" s="42">
        <v>0</v>
      </c>
      <c r="C31" s="42"/>
      <c r="D31" s="42">
        <v>458.72</v>
      </c>
      <c r="E31" s="42">
        <v>1077.03</v>
      </c>
      <c r="F31" s="42"/>
      <c r="G31" s="42">
        <v>1049.11</v>
      </c>
      <c r="H31" s="42"/>
      <c r="I31" s="42">
        <v>1179.62</v>
      </c>
      <c r="J31" s="42"/>
      <c r="K31" s="42">
        <v>13201.46</v>
      </c>
      <c r="L31" s="42">
        <f t="shared" si="0"/>
        <v>0.08632980452340511</v>
      </c>
    </row>
    <row r="32" spans="1:12" ht="12" customHeight="1">
      <c r="A32" s="41">
        <f>A31+31</f>
        <v>38742</v>
      </c>
      <c r="B32" s="42">
        <v>0</v>
      </c>
      <c r="C32" s="42"/>
      <c r="D32" s="42">
        <v>428.06</v>
      </c>
      <c r="E32" s="42">
        <v>-301.76</v>
      </c>
      <c r="F32" s="42"/>
      <c r="G32" s="42">
        <v>1115.61</v>
      </c>
      <c r="H32" s="42"/>
      <c r="I32" s="42">
        <v>1842.2</v>
      </c>
      <c r="J32" s="42"/>
      <c r="K32" s="42">
        <v>12601.17</v>
      </c>
      <c r="L32" s="42">
        <f t="shared" si="0"/>
        <v>0.09713152863247432</v>
      </c>
    </row>
    <row r="33" spans="1:12" ht="12" customHeight="1">
      <c r="A33" s="41">
        <f>A32+31</f>
        <v>38773</v>
      </c>
      <c r="B33" s="42">
        <v>0</v>
      </c>
      <c r="C33" s="42"/>
      <c r="D33" s="42">
        <v>480.63</v>
      </c>
      <c r="E33" s="42">
        <v>-321.12</v>
      </c>
      <c r="F33" s="42"/>
      <c r="G33" s="42">
        <v>1267.17</v>
      </c>
      <c r="H33" s="42"/>
      <c r="I33" s="42">
        <v>158.98</v>
      </c>
      <c r="J33" s="42"/>
      <c r="K33" s="42">
        <v>13868.87</v>
      </c>
      <c r="L33" s="42">
        <f t="shared" si="0"/>
        <v>0.10055548060975905</v>
      </c>
    </row>
    <row r="34" spans="1:12" ht="12" customHeight="1">
      <c r="A34" s="41">
        <f>A33+28</f>
        <v>38801</v>
      </c>
      <c r="B34" s="42">
        <v>0</v>
      </c>
      <c r="C34" s="42"/>
      <c r="D34" s="42">
        <v>403.66</v>
      </c>
      <c r="E34" s="42">
        <v>-340.5</v>
      </c>
      <c r="F34" s="42"/>
      <c r="G34" s="42">
        <v>1127.27</v>
      </c>
      <c r="H34" s="42"/>
      <c r="I34" s="42">
        <v>1633.26</v>
      </c>
      <c r="J34" s="42"/>
      <c r="K34" s="42">
        <v>13426.04</v>
      </c>
      <c r="L34" s="42">
        <f t="shared" si="0"/>
        <v>0.09165713319299407</v>
      </c>
    </row>
    <row r="35" spans="1:12" ht="12" customHeight="1">
      <c r="A35" s="41">
        <f>A34+31</f>
        <v>38832</v>
      </c>
      <c r="B35" s="42">
        <v>0</v>
      </c>
      <c r="C35" s="42"/>
      <c r="D35" s="42">
        <v>467.06</v>
      </c>
      <c r="E35" s="42">
        <v>-302.81</v>
      </c>
      <c r="F35" s="42"/>
      <c r="G35" s="42">
        <v>1324.54</v>
      </c>
      <c r="H35" s="42"/>
      <c r="I35" s="42">
        <v>507.99</v>
      </c>
      <c r="J35" s="42"/>
      <c r="K35" s="42">
        <v>14406.84</v>
      </c>
      <c r="L35" s="42">
        <f t="shared" si="0"/>
        <v>0.10124672267109003</v>
      </c>
    </row>
    <row r="36" spans="1:12" ht="12" customHeight="1">
      <c r="A36" s="41">
        <f>A35+30</f>
        <v>38862</v>
      </c>
      <c r="B36" s="42">
        <v>0</v>
      </c>
      <c r="C36" s="42"/>
      <c r="D36" s="42">
        <v>486</v>
      </c>
      <c r="E36" s="42">
        <v>-328.01</v>
      </c>
      <c r="F36" s="42"/>
      <c r="G36" s="42">
        <v>1401.84</v>
      </c>
      <c r="H36" s="42"/>
      <c r="I36" s="42">
        <v>0</v>
      </c>
      <c r="J36" s="42"/>
      <c r="K36" s="42">
        <v>15966.67</v>
      </c>
      <c r="L36" s="42">
        <f t="shared" si="0"/>
        <v>0.0962482912605227</v>
      </c>
    </row>
    <row r="37" spans="1:12" ht="12" customHeight="1">
      <c r="A37" s="41">
        <f>A36+31</f>
        <v>38893</v>
      </c>
      <c r="B37" s="42">
        <v>0</v>
      </c>
      <c r="C37" s="42"/>
      <c r="D37" s="42">
        <v>4.88</v>
      </c>
      <c r="E37" s="42">
        <v>23.15</v>
      </c>
      <c r="F37" s="42"/>
      <c r="G37" s="42">
        <v>16.35</v>
      </c>
      <c r="H37" s="42"/>
      <c r="I37" s="42">
        <v>0</v>
      </c>
      <c r="J37" s="42"/>
      <c r="K37" s="42">
        <v>16011.05</v>
      </c>
      <c r="L37" s="42">
        <f t="shared" si="0"/>
        <v>0.001022213608257827</v>
      </c>
    </row>
    <row r="38" spans="1:12" ht="12" customHeight="1">
      <c r="A38" s="41">
        <f>A37+30</f>
        <v>38923</v>
      </c>
      <c r="B38" s="42">
        <v>0</v>
      </c>
      <c r="C38" s="42"/>
      <c r="D38" s="42">
        <v>0</v>
      </c>
      <c r="E38" s="42">
        <v>0</v>
      </c>
      <c r="F38" s="42"/>
      <c r="G38" s="42">
        <v>0</v>
      </c>
      <c r="H38" s="42"/>
      <c r="I38" s="42">
        <v>0</v>
      </c>
      <c r="J38" s="42"/>
      <c r="K38" s="42">
        <v>16011.05</v>
      </c>
      <c r="L38" s="42">
        <f t="shared" si="0"/>
        <v>0</v>
      </c>
    </row>
    <row r="39" spans="1:12" ht="12" customHeight="1">
      <c r="A39" s="41">
        <f>A38+31</f>
        <v>38954</v>
      </c>
      <c r="B39" s="42">
        <v>0</v>
      </c>
      <c r="C39" s="42"/>
      <c r="D39" s="42">
        <v>0</v>
      </c>
      <c r="E39" s="42">
        <v>0</v>
      </c>
      <c r="F39" s="42"/>
      <c r="G39" s="42">
        <v>0</v>
      </c>
      <c r="H39" s="42"/>
      <c r="I39" s="42">
        <v>0</v>
      </c>
      <c r="J39" s="42"/>
      <c r="K39" s="42">
        <v>16011.05</v>
      </c>
      <c r="L39" s="42">
        <f t="shared" si="0"/>
        <v>0</v>
      </c>
    </row>
    <row r="40" spans="2:12" ht="12" customHeight="1">
      <c r="B40" s="46"/>
      <c r="C40" s="46"/>
      <c r="D40" s="47"/>
      <c r="E40" s="46"/>
      <c r="F40" s="48"/>
      <c r="G40" s="46"/>
      <c r="H40" s="49"/>
      <c r="I40" s="46"/>
      <c r="J40" s="46"/>
      <c r="K40" s="46"/>
      <c r="L40" s="46"/>
    </row>
    <row r="41" spans="1:12" ht="12" customHeight="1">
      <c r="A41" s="43" t="s">
        <v>13</v>
      </c>
      <c r="B41" s="50"/>
      <c r="C41" s="50"/>
      <c r="D41" s="51">
        <f>SUM(D20:D40)</f>
        <v>14168.649999999994</v>
      </c>
      <c r="E41" s="51">
        <f>SUM(E20:E40)</f>
        <v>-88.56999999999996</v>
      </c>
      <c r="F41" s="51"/>
      <c r="G41" s="51">
        <f>SUM(G20:G40)</f>
        <v>16124.85</v>
      </c>
      <c r="H41" s="51"/>
      <c r="I41" s="51">
        <f>SUM(I20:I40)</f>
        <v>14193.879999999997</v>
      </c>
      <c r="J41" s="52"/>
      <c r="K41" s="53">
        <f>K39</f>
        <v>16011.05</v>
      </c>
      <c r="L41" s="45"/>
    </row>
    <row r="42" spans="4:11" ht="12" customHeight="1">
      <c r="D42" s="40"/>
      <c r="E42" s="40"/>
      <c r="K42" s="40"/>
    </row>
  </sheetData>
  <sheetProtection/>
  <mergeCells count="19">
    <mergeCell ref="C17:C18"/>
    <mergeCell ref="D17:D18"/>
    <mergeCell ref="E17:E18"/>
    <mergeCell ref="F17:F18"/>
    <mergeCell ref="G17:G18"/>
    <mergeCell ref="A13:L13"/>
    <mergeCell ref="B14:H14"/>
    <mergeCell ref="I14:J14"/>
    <mergeCell ref="K14:L14"/>
    <mergeCell ref="K17:K18"/>
    <mergeCell ref="L17:L18"/>
    <mergeCell ref="K15:L16"/>
    <mergeCell ref="B17:B18"/>
    <mergeCell ref="B15:C16"/>
    <mergeCell ref="D15:E16"/>
    <mergeCell ref="I15:I16"/>
    <mergeCell ref="F15:G16"/>
    <mergeCell ref="H15:H16"/>
    <mergeCell ref="J15:J16"/>
  </mergeCells>
  <printOptions/>
  <pageMargins left="0.7874015748031497" right="0.5118110236220472" top="0.7874015748031497" bottom="0.5905511811023623" header="0.1968503937007874" footer="0.31496062992125984"/>
  <pageSetup horizontalDpi="200" verticalDpi="200" orientation="landscape" paperSize="9" r:id="rId1"/>
  <headerFooter>
    <oddHeader>&amp;R
&amp;"Tahoma,Normal"&amp;8Anexo: 02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43">
      <selection activeCell="A5" sqref="A5:D5"/>
    </sheetView>
  </sheetViews>
  <sheetFormatPr defaultColWidth="9.140625" defaultRowHeight="12" customHeight="1"/>
  <cols>
    <col min="1" max="1" width="12.421875" style="9" customWidth="1"/>
    <col min="2" max="2" width="12.57421875" style="9" customWidth="1"/>
    <col min="3" max="3" width="10.00390625" style="9" customWidth="1"/>
    <col min="4" max="4" width="11.7109375" style="9" customWidth="1"/>
    <col min="5" max="5" width="12.00390625" style="9" customWidth="1"/>
    <col min="6" max="6" width="10.140625" style="9" customWidth="1"/>
    <col min="7" max="7" width="14.57421875" style="9" customWidth="1"/>
    <col min="8" max="8" width="9.8515625" style="9" customWidth="1"/>
    <col min="9" max="9" width="14.140625" style="9" customWidth="1"/>
    <col min="10" max="10" width="9.8515625" style="9" customWidth="1"/>
    <col min="11" max="11" width="12.140625" style="9" customWidth="1"/>
    <col min="12" max="12" width="14.7109375" style="9" customWidth="1"/>
    <col min="13" max="13" width="11.7109375" style="9" customWidth="1"/>
    <col min="14" max="14" width="12.421875" style="9" customWidth="1"/>
    <col min="15" max="15" width="9.140625" style="9" customWidth="1"/>
    <col min="16" max="16" width="11.57421875" style="9" customWidth="1"/>
    <col min="17" max="17" width="11.8515625" style="9" customWidth="1"/>
    <col min="18" max="18" width="9.140625" style="9" customWidth="1"/>
    <col min="19" max="19" width="10.8515625" style="9" bestFit="1" customWidth="1"/>
    <col min="20" max="20" width="9.140625" style="9" customWidth="1"/>
    <col min="21" max="21" width="12.8515625" style="9" customWidth="1"/>
    <col min="22" max="16384" width="9.140625" style="9" customWidth="1"/>
  </cols>
  <sheetData>
    <row r="1" spans="1:8" ht="12" customHeight="1">
      <c r="A1" s="57" t="s">
        <v>25</v>
      </c>
      <c r="B1" s="57"/>
      <c r="C1" s="57"/>
      <c r="D1" s="57"/>
      <c r="F1" s="57"/>
      <c r="G1" s="57"/>
      <c r="H1" s="31" t="s">
        <v>36</v>
      </c>
    </row>
    <row r="2" spans="1:8" ht="12" customHeight="1">
      <c r="A2" s="57" t="s">
        <v>31</v>
      </c>
      <c r="B2" s="57"/>
      <c r="C2" s="57"/>
      <c r="D2" s="57"/>
      <c r="F2" s="57"/>
      <c r="G2" s="57"/>
      <c r="H2" s="31" t="s">
        <v>27</v>
      </c>
    </row>
    <row r="3" spans="1:8" ht="12" customHeight="1">
      <c r="A3" s="57" t="s">
        <v>43</v>
      </c>
      <c r="B3" s="57"/>
      <c r="C3" s="57"/>
      <c r="D3" s="57"/>
      <c r="F3" s="57"/>
      <c r="G3" s="57"/>
      <c r="H3" s="57"/>
    </row>
    <row r="5" spans="1:7" ht="12" customHeight="1">
      <c r="A5" s="124" t="s">
        <v>90</v>
      </c>
      <c r="B5" s="124"/>
      <c r="C5" s="124"/>
      <c r="D5" s="124"/>
      <c r="E5" s="58"/>
      <c r="F5" s="58"/>
      <c r="G5" s="58"/>
    </row>
    <row r="6" spans="1:7" ht="12" customHeight="1">
      <c r="A6" s="124" t="s">
        <v>71</v>
      </c>
      <c r="B6" s="124"/>
      <c r="C6" s="124"/>
      <c r="D6" s="124"/>
      <c r="E6" s="58"/>
      <c r="F6" s="58"/>
      <c r="G6" s="58"/>
    </row>
    <row r="7" spans="1:7" ht="12" customHeight="1">
      <c r="A7" s="124" t="s">
        <v>91</v>
      </c>
      <c r="B7" s="124"/>
      <c r="C7" s="124"/>
      <c r="D7" s="124"/>
      <c r="E7" s="58"/>
      <c r="F7" s="58"/>
      <c r="G7" s="58"/>
    </row>
    <row r="8" spans="1:7" ht="12" customHeight="1">
      <c r="A8" s="124" t="s">
        <v>92</v>
      </c>
      <c r="B8" s="124"/>
      <c r="C8" s="124"/>
      <c r="D8" s="124"/>
      <c r="E8" s="58"/>
      <c r="F8" s="58"/>
      <c r="G8" s="58"/>
    </row>
    <row r="10" spans="1:5" ht="12" customHeight="1">
      <c r="A10" s="57" t="s">
        <v>44</v>
      </c>
      <c r="C10" s="59"/>
      <c r="E10" s="60"/>
    </row>
    <row r="11" ht="12" customHeight="1">
      <c r="A11" s="57" t="s">
        <v>45</v>
      </c>
    </row>
    <row r="14" spans="1:14" ht="12" customHeight="1">
      <c r="A14" s="121" t="s">
        <v>74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61"/>
    </row>
    <row r="15" spans="1:18" ht="12" customHeight="1">
      <c r="A15" s="61" t="s">
        <v>0</v>
      </c>
      <c r="B15" s="122" t="s">
        <v>3</v>
      </c>
      <c r="C15" s="122"/>
      <c r="D15" s="122"/>
      <c r="E15" s="122"/>
      <c r="F15" s="122"/>
      <c r="G15" s="122"/>
      <c r="H15" s="122"/>
      <c r="I15" s="122" t="s">
        <v>11</v>
      </c>
      <c r="J15" s="122"/>
      <c r="K15" s="122" t="s">
        <v>29</v>
      </c>
      <c r="L15" s="122"/>
      <c r="M15" s="121" t="s">
        <v>48</v>
      </c>
      <c r="N15" s="121" t="s">
        <v>81</v>
      </c>
      <c r="O15" s="9" t="s">
        <v>17</v>
      </c>
      <c r="P15" s="9" t="s">
        <v>14</v>
      </c>
      <c r="Q15" s="9" t="s">
        <v>19</v>
      </c>
      <c r="R15" s="9" t="s">
        <v>2</v>
      </c>
    </row>
    <row r="16" spans="2:19" ht="12" customHeight="1">
      <c r="B16" s="121" t="s">
        <v>5</v>
      </c>
      <c r="C16" s="121"/>
      <c r="D16" s="121" t="s">
        <v>10</v>
      </c>
      <c r="E16" s="121"/>
      <c r="F16" s="121" t="s">
        <v>78</v>
      </c>
      <c r="G16" s="121"/>
      <c r="H16" s="121" t="s">
        <v>79</v>
      </c>
      <c r="I16" s="121" t="s">
        <v>12</v>
      </c>
      <c r="J16" s="121" t="s">
        <v>80</v>
      </c>
      <c r="K16" s="122" t="s">
        <v>1</v>
      </c>
      <c r="L16" s="122"/>
      <c r="M16" s="121"/>
      <c r="N16" s="121"/>
      <c r="O16" s="9" t="s">
        <v>16</v>
      </c>
      <c r="P16" s="9" t="s">
        <v>15</v>
      </c>
      <c r="Q16" s="9" t="s">
        <v>20</v>
      </c>
      <c r="S16" s="9" t="s">
        <v>24</v>
      </c>
    </row>
    <row r="17" spans="2:19" ht="12" customHeight="1">
      <c r="B17" s="121"/>
      <c r="C17" s="121"/>
      <c r="D17" s="121"/>
      <c r="E17" s="121"/>
      <c r="F17" s="121"/>
      <c r="G17" s="121"/>
      <c r="H17" s="121"/>
      <c r="I17" s="121"/>
      <c r="J17" s="121"/>
      <c r="K17" s="122" t="s">
        <v>47</v>
      </c>
      <c r="L17" s="122" t="s">
        <v>46</v>
      </c>
      <c r="M17" s="121"/>
      <c r="N17" s="121"/>
      <c r="P17" s="9" t="s">
        <v>18</v>
      </c>
      <c r="Q17" s="9" t="s">
        <v>21</v>
      </c>
      <c r="R17" s="9" t="s">
        <v>22</v>
      </c>
      <c r="S17" s="9" t="s">
        <v>23</v>
      </c>
    </row>
    <row r="18" spans="2:12" ht="12" customHeight="1">
      <c r="B18" s="63" t="s">
        <v>6</v>
      </c>
      <c r="C18" s="63" t="s">
        <v>7</v>
      </c>
      <c r="D18" s="63" t="s">
        <v>9</v>
      </c>
      <c r="E18" s="63" t="s">
        <v>8</v>
      </c>
      <c r="F18" s="63" t="s">
        <v>4</v>
      </c>
      <c r="G18" s="63" t="s">
        <v>2</v>
      </c>
      <c r="K18" s="122"/>
      <c r="L18" s="122"/>
    </row>
    <row r="19" ht="12" customHeight="1">
      <c r="K19" s="9" t="s">
        <v>30</v>
      </c>
    </row>
    <row r="20" spans="1:25" ht="12" customHeight="1">
      <c r="A20" s="65">
        <v>38377</v>
      </c>
      <c r="B20" s="64"/>
      <c r="D20" s="64">
        <f>Plan2!D20</f>
        <v>6257.09</v>
      </c>
      <c r="E20" s="64">
        <f>Plan2!E20</f>
        <v>-113.76</v>
      </c>
      <c r="G20" s="64">
        <f>(D20+E20)*S20</f>
        <v>457.0900000000001</v>
      </c>
      <c r="I20" s="9">
        <f>Plan2!I20</f>
        <v>0</v>
      </c>
      <c r="K20" s="66">
        <f>D20+E20+G20-I20</f>
        <v>6600.42</v>
      </c>
      <c r="L20" s="67">
        <v>19800</v>
      </c>
      <c r="M20" s="64">
        <f>(K20/30*O20)-G20</f>
        <v>6143.33</v>
      </c>
      <c r="N20" s="64">
        <f>G20</f>
        <v>457.0900000000001</v>
      </c>
      <c r="O20" s="68">
        <v>30</v>
      </c>
      <c r="P20" s="64">
        <f>-M19-I20+J20</f>
        <v>0</v>
      </c>
      <c r="Q20" s="64">
        <f>M20-P20</f>
        <v>6143.33</v>
      </c>
      <c r="R20" s="69">
        <v>7.4405</v>
      </c>
      <c r="S20" s="55">
        <f>Plan2!L20</f>
        <v>0.07440427260134164</v>
      </c>
      <c r="U20" s="64">
        <f>K20</f>
        <v>6600.42</v>
      </c>
      <c r="V20" s="64">
        <f>M20</f>
        <v>6143.33</v>
      </c>
      <c r="W20" s="64">
        <f>U20-V20</f>
        <v>457.09000000000015</v>
      </c>
      <c r="X20" s="64">
        <f>G20</f>
        <v>457.0900000000001</v>
      </c>
      <c r="Y20" s="64">
        <f>W20-X20</f>
        <v>0</v>
      </c>
    </row>
    <row r="21" spans="1:25" ht="12" customHeight="1">
      <c r="A21" s="65">
        <f>A20+31</f>
        <v>38408</v>
      </c>
      <c r="B21" s="64">
        <v>0</v>
      </c>
      <c r="D21" s="64">
        <f>Plan2!D21</f>
        <v>616.28</v>
      </c>
      <c r="E21" s="64">
        <f>Plan2!E21</f>
        <v>53.69</v>
      </c>
      <c r="G21" s="64">
        <f>(M20-I21+E21+D21)*S21</f>
        <v>597.759143830855</v>
      </c>
      <c r="I21" s="9">
        <f>Plan2!I21</f>
        <v>1660.05</v>
      </c>
      <c r="J21" s="64"/>
      <c r="K21" s="64">
        <f>K20-I21+D21+E21+G21</f>
        <v>6208.099143830854</v>
      </c>
      <c r="L21" s="67">
        <v>19800</v>
      </c>
      <c r="M21" s="64">
        <f aca="true" t="shared" si="0" ref="M21:M40">(K21/30*O21)-G21</f>
        <v>5610.339999999998</v>
      </c>
      <c r="N21" s="64">
        <f>N20+G21</f>
        <v>1054.8491438308552</v>
      </c>
      <c r="O21" s="70">
        <v>30</v>
      </c>
      <c r="P21" s="64">
        <f aca="true" t="shared" si="1" ref="P21:P40">-M20-I21+J21</f>
        <v>-7803.38</v>
      </c>
      <c r="Q21" s="64">
        <f>M21-P21</f>
        <v>13413.719999999998</v>
      </c>
      <c r="R21" s="69"/>
      <c r="S21" s="55">
        <f>Plan2!L21</f>
        <v>0.11599653496936013</v>
      </c>
      <c r="T21" s="64"/>
      <c r="U21" s="64">
        <f aca="true" t="shared" si="2" ref="U21:U40">K21</f>
        <v>6208.099143830854</v>
      </c>
      <c r="V21" s="64">
        <f aca="true" t="shared" si="3" ref="V21:V40">M21</f>
        <v>5610.339999999998</v>
      </c>
      <c r="W21" s="64">
        <f aca="true" t="shared" si="4" ref="W21:W41">U21-V21</f>
        <v>597.7591438308555</v>
      </c>
      <c r="X21" s="64">
        <f aca="true" t="shared" si="5" ref="X21:X41">G21</f>
        <v>597.759143830855</v>
      </c>
      <c r="Y21" s="64">
        <f aca="true" t="shared" si="6" ref="Y21:Y41">W21-X21</f>
        <v>0</v>
      </c>
    </row>
    <row r="22" spans="1:25" ht="12" customHeight="1">
      <c r="A22" s="65">
        <f>A21+28</f>
        <v>38436</v>
      </c>
      <c r="B22" s="64">
        <v>0</v>
      </c>
      <c r="D22" s="64">
        <f>Plan2!D22</f>
        <v>486.01</v>
      </c>
      <c r="E22" s="64">
        <f>Plan2!E22</f>
        <v>132.92</v>
      </c>
      <c r="G22" s="64">
        <f aca="true" t="shared" si="7" ref="G22:G40">(M21-I22+E22+D22)*S22</f>
        <v>507.03081692501013</v>
      </c>
      <c r="I22" s="9">
        <f>Plan2!I22</f>
        <v>626.11</v>
      </c>
      <c r="J22" s="64"/>
      <c r="K22" s="64">
        <f aca="true" t="shared" si="8" ref="K22:K40">K21-I22+D22+E22+G22</f>
        <v>6707.949960755865</v>
      </c>
      <c r="L22" s="67">
        <v>19800</v>
      </c>
      <c r="M22" s="64">
        <f t="shared" si="0"/>
        <v>6200.919143830854</v>
      </c>
      <c r="N22" s="64">
        <f aca="true" t="shared" si="9" ref="N22:N40">N21+G22</f>
        <v>1561.8799607558653</v>
      </c>
      <c r="O22" s="68">
        <v>30</v>
      </c>
      <c r="P22" s="64">
        <f t="shared" si="1"/>
        <v>-6236.449999999998</v>
      </c>
      <c r="Q22" s="64">
        <f aca="true" t="shared" si="10" ref="Q22:Q35">M22-P22</f>
        <v>12437.369143830852</v>
      </c>
      <c r="R22" s="69"/>
      <c r="S22" s="55">
        <f>Plan2!L22</f>
        <v>0.09049015500628399</v>
      </c>
      <c r="T22" s="64"/>
      <c r="U22" s="64">
        <f t="shared" si="2"/>
        <v>6707.949960755865</v>
      </c>
      <c r="V22" s="64">
        <f t="shared" si="3"/>
        <v>6200.919143830854</v>
      </c>
      <c r="W22" s="64">
        <f t="shared" si="4"/>
        <v>507.0308169250102</v>
      </c>
      <c r="X22" s="64">
        <f t="shared" si="5"/>
        <v>507.03081692501013</v>
      </c>
      <c r="Y22" s="64">
        <f t="shared" si="6"/>
        <v>0</v>
      </c>
    </row>
    <row r="23" spans="1:25" ht="12" customHeight="1">
      <c r="A23" s="65">
        <f>A22+31</f>
        <v>38467</v>
      </c>
      <c r="B23" s="64">
        <v>0</v>
      </c>
      <c r="D23" s="64">
        <f>Plan2!D23</f>
        <v>549.09</v>
      </c>
      <c r="E23" s="64">
        <f>Plan2!E23</f>
        <v>223.47</v>
      </c>
      <c r="G23" s="64">
        <f t="shared" si="7"/>
        <v>637.4493394686883</v>
      </c>
      <c r="I23" s="9">
        <f>Plan2!I23</f>
        <v>681.99</v>
      </c>
      <c r="K23" s="64">
        <f t="shared" si="8"/>
        <v>7435.969300224553</v>
      </c>
      <c r="L23" s="67">
        <v>19800</v>
      </c>
      <c r="M23" s="64">
        <f t="shared" si="0"/>
        <v>6798.519960755864</v>
      </c>
      <c r="N23" s="64">
        <f t="shared" si="9"/>
        <v>2199.3293002245537</v>
      </c>
      <c r="O23" s="68">
        <v>30</v>
      </c>
      <c r="P23" s="64">
        <f t="shared" si="1"/>
        <v>-6882.909143830854</v>
      </c>
      <c r="Q23" s="64">
        <f t="shared" si="10"/>
        <v>13681.429104586718</v>
      </c>
      <c r="R23" s="69"/>
      <c r="S23" s="55">
        <f>Plan2!L23</f>
        <v>0.10131931008634765</v>
      </c>
      <c r="U23" s="64">
        <f t="shared" si="2"/>
        <v>7435.969300224553</v>
      </c>
      <c r="V23" s="64">
        <f t="shared" si="3"/>
        <v>6798.519960755864</v>
      </c>
      <c r="W23" s="64">
        <f t="shared" si="4"/>
        <v>637.4493394686888</v>
      </c>
      <c r="X23" s="64">
        <f t="shared" si="5"/>
        <v>637.4493394686883</v>
      </c>
      <c r="Y23" s="64">
        <f t="shared" si="6"/>
        <v>0</v>
      </c>
    </row>
    <row r="24" spans="1:25" ht="12" customHeight="1">
      <c r="A24" s="65">
        <f>A23+30</f>
        <v>38497</v>
      </c>
      <c r="B24" s="64">
        <v>0</v>
      </c>
      <c r="D24" s="64">
        <f>Plan2!D24</f>
        <v>508.52</v>
      </c>
      <c r="E24" s="64">
        <f>Plan2!E24</f>
        <v>210.66</v>
      </c>
      <c r="G24" s="64">
        <f t="shared" si="7"/>
        <v>648.1766566172602</v>
      </c>
      <c r="H24" s="64"/>
      <c r="I24" s="9">
        <f>Plan2!I24</f>
        <v>761.06</v>
      </c>
      <c r="K24" s="64">
        <f t="shared" si="8"/>
        <v>8042.265956841814</v>
      </c>
      <c r="L24" s="67">
        <v>19800</v>
      </c>
      <c r="M24" s="64">
        <f t="shared" si="0"/>
        <v>7394.089300224554</v>
      </c>
      <c r="N24" s="64">
        <f t="shared" si="9"/>
        <v>2847.5059568418137</v>
      </c>
      <c r="O24" s="68">
        <v>30</v>
      </c>
      <c r="P24" s="64">
        <f t="shared" si="1"/>
        <v>-7559.579960755864</v>
      </c>
      <c r="Q24" s="64">
        <f t="shared" si="10"/>
        <v>14953.669260980418</v>
      </c>
      <c r="R24" s="69"/>
      <c r="S24" s="55">
        <f>Plan2!L24</f>
        <v>0.09593180343810248</v>
      </c>
      <c r="U24" s="64">
        <f t="shared" si="2"/>
        <v>8042.265956841814</v>
      </c>
      <c r="V24" s="64">
        <f t="shared" si="3"/>
        <v>7394.089300224554</v>
      </c>
      <c r="W24" s="64">
        <f t="shared" si="4"/>
        <v>648.17665661726</v>
      </c>
      <c r="X24" s="64">
        <f t="shared" si="5"/>
        <v>648.1766566172602</v>
      </c>
      <c r="Y24" s="64">
        <f t="shared" si="6"/>
        <v>0</v>
      </c>
    </row>
    <row r="25" spans="1:25" ht="12" customHeight="1">
      <c r="A25" s="65">
        <f>A24+31</f>
        <v>38528</v>
      </c>
      <c r="B25" s="64">
        <v>0</v>
      </c>
      <c r="C25" s="64"/>
      <c r="D25" s="64">
        <f>Plan2!D25</f>
        <v>508.31</v>
      </c>
      <c r="E25" s="64">
        <f>Plan2!E25</f>
        <v>211.87</v>
      </c>
      <c r="F25" s="64"/>
      <c r="G25" s="64">
        <f t="shared" si="7"/>
        <v>713.9289128250282</v>
      </c>
      <c r="I25" s="9">
        <f>Plan2!I25</f>
        <v>829.48</v>
      </c>
      <c r="K25" s="64">
        <f t="shared" si="8"/>
        <v>8646.894869666841</v>
      </c>
      <c r="L25" s="67">
        <v>19800</v>
      </c>
      <c r="M25" s="64">
        <f t="shared" si="0"/>
        <v>7932.965956841813</v>
      </c>
      <c r="N25" s="64">
        <f t="shared" si="9"/>
        <v>3561.434869666842</v>
      </c>
      <c r="O25" s="68">
        <v>30</v>
      </c>
      <c r="P25" s="64">
        <f t="shared" si="1"/>
        <v>-8223.569300224553</v>
      </c>
      <c r="Q25" s="64">
        <f t="shared" si="10"/>
        <v>16156.535257066367</v>
      </c>
      <c r="R25" s="69"/>
      <c r="S25" s="55">
        <f>Plan2!L25</f>
        <v>0.09800268523936873</v>
      </c>
      <c r="U25" s="64">
        <f t="shared" si="2"/>
        <v>8646.894869666841</v>
      </c>
      <c r="V25" s="64">
        <f t="shared" si="3"/>
        <v>7932.965956841813</v>
      </c>
      <c r="W25" s="64">
        <f t="shared" si="4"/>
        <v>713.9289128250284</v>
      </c>
      <c r="X25" s="64">
        <f t="shared" si="5"/>
        <v>713.9289128250282</v>
      </c>
      <c r="Y25" s="64">
        <f t="shared" si="6"/>
        <v>0</v>
      </c>
    </row>
    <row r="26" spans="1:25" ht="12" customHeight="1">
      <c r="A26" s="65">
        <f>A25+30</f>
        <v>38558</v>
      </c>
      <c r="B26" s="64">
        <v>0</v>
      </c>
      <c r="C26" s="64"/>
      <c r="D26" s="64">
        <f>Plan2!D26</f>
        <v>498.09</v>
      </c>
      <c r="E26" s="64">
        <f>Plan2!E26</f>
        <v>145.88</v>
      </c>
      <c r="F26" s="64"/>
      <c r="G26" s="64">
        <f t="shared" si="7"/>
        <v>756.1940154680854</v>
      </c>
      <c r="I26" s="9">
        <f>Plan2!I26</f>
        <v>898.78</v>
      </c>
      <c r="K26" s="64">
        <f t="shared" si="8"/>
        <v>9148.278885134925</v>
      </c>
      <c r="L26" s="67">
        <v>19800</v>
      </c>
      <c r="M26" s="64">
        <f t="shared" si="0"/>
        <v>8392.08486966684</v>
      </c>
      <c r="N26" s="64">
        <f t="shared" si="9"/>
        <v>4317.628885134927</v>
      </c>
      <c r="O26" s="68">
        <v>30</v>
      </c>
      <c r="P26" s="64">
        <f t="shared" si="1"/>
        <v>-8831.745956841813</v>
      </c>
      <c r="Q26" s="64">
        <f t="shared" si="10"/>
        <v>17223.830826508653</v>
      </c>
      <c r="R26" s="69"/>
      <c r="S26" s="55">
        <f>Plan2!L26</f>
        <v>0.09848640998158675</v>
      </c>
      <c r="U26" s="64">
        <f t="shared" si="2"/>
        <v>9148.278885134925</v>
      </c>
      <c r="V26" s="64">
        <f t="shared" si="3"/>
        <v>8392.08486966684</v>
      </c>
      <c r="W26" s="64">
        <f t="shared" si="4"/>
        <v>756.1940154680851</v>
      </c>
      <c r="X26" s="64">
        <f t="shared" si="5"/>
        <v>756.1940154680854</v>
      </c>
      <c r="Y26" s="64">
        <f t="shared" si="6"/>
        <v>0</v>
      </c>
    </row>
    <row r="27" spans="1:25" ht="12" customHeight="1">
      <c r="A27" s="65">
        <f>A26+31</f>
        <v>38589</v>
      </c>
      <c r="B27" s="64">
        <v>0</v>
      </c>
      <c r="C27" s="64"/>
      <c r="D27" s="64">
        <f>Plan2!D27</f>
        <v>509.22</v>
      </c>
      <c r="E27" s="64">
        <f>Plan2!E27</f>
        <v>-96.61</v>
      </c>
      <c r="G27" s="64">
        <f t="shared" si="7"/>
        <v>840.2633702421497</v>
      </c>
      <c r="I27" s="9">
        <f>Plan2!I27</f>
        <v>384.54</v>
      </c>
      <c r="K27" s="64">
        <f t="shared" si="8"/>
        <v>10016.612255377073</v>
      </c>
      <c r="L27" s="67">
        <v>19800</v>
      </c>
      <c r="M27" s="64">
        <f t="shared" si="0"/>
        <v>9176.348885134923</v>
      </c>
      <c r="N27" s="64">
        <f t="shared" si="9"/>
        <v>5157.892255377077</v>
      </c>
      <c r="O27" s="68">
        <v>30</v>
      </c>
      <c r="P27" s="64">
        <f t="shared" si="1"/>
        <v>-8776.62486966684</v>
      </c>
      <c r="Q27" s="64">
        <f t="shared" si="10"/>
        <v>17952.973754801766</v>
      </c>
      <c r="R27" s="69"/>
      <c r="S27" s="55">
        <f>Plan2!L27</f>
        <v>0.09979191395506914</v>
      </c>
      <c r="U27" s="64">
        <f t="shared" si="2"/>
        <v>10016.612255377073</v>
      </c>
      <c r="V27" s="64">
        <f t="shared" si="3"/>
        <v>9176.348885134923</v>
      </c>
      <c r="W27" s="64">
        <f t="shared" si="4"/>
        <v>840.2633702421499</v>
      </c>
      <c r="X27" s="64">
        <f t="shared" si="5"/>
        <v>840.2633702421497</v>
      </c>
      <c r="Y27" s="64">
        <f t="shared" si="6"/>
        <v>0</v>
      </c>
    </row>
    <row r="28" spans="1:25" ht="12" customHeight="1">
      <c r="A28" s="65">
        <f>A27+31</f>
        <v>38620</v>
      </c>
      <c r="B28" s="64">
        <v>0</v>
      </c>
      <c r="D28" s="64">
        <f>Plan2!D28</f>
        <v>513.8</v>
      </c>
      <c r="E28" s="64">
        <f>Plan2!E28</f>
        <v>-130.09</v>
      </c>
      <c r="F28" s="64"/>
      <c r="G28" s="64">
        <f t="shared" si="7"/>
        <v>859.4222452615684</v>
      </c>
      <c r="I28" s="9">
        <f>Plan2!I28</f>
        <v>1632.88</v>
      </c>
      <c r="K28" s="64">
        <f t="shared" si="8"/>
        <v>9626.86450063864</v>
      </c>
      <c r="L28" s="67">
        <v>19800</v>
      </c>
      <c r="M28" s="64">
        <f t="shared" si="0"/>
        <v>8767.442255377071</v>
      </c>
      <c r="N28" s="64">
        <f t="shared" si="9"/>
        <v>6017.314500638646</v>
      </c>
      <c r="O28" s="68">
        <v>30</v>
      </c>
      <c r="P28" s="64">
        <f t="shared" si="1"/>
        <v>-10809.228885134922</v>
      </c>
      <c r="Q28" s="64">
        <f t="shared" si="10"/>
        <v>19576.671140511993</v>
      </c>
      <c r="R28" s="69"/>
      <c r="S28" s="55">
        <f>Plan2!L28</f>
        <v>0.10841464002700385</v>
      </c>
      <c r="U28" s="64">
        <f t="shared" si="2"/>
        <v>9626.86450063864</v>
      </c>
      <c r="V28" s="64">
        <f t="shared" si="3"/>
        <v>8767.442255377071</v>
      </c>
      <c r="W28" s="64">
        <f t="shared" si="4"/>
        <v>859.4222452615686</v>
      </c>
      <c r="X28" s="64">
        <f t="shared" si="5"/>
        <v>859.4222452615684</v>
      </c>
      <c r="Y28" s="64">
        <f t="shared" si="6"/>
        <v>0</v>
      </c>
    </row>
    <row r="29" spans="1:25" ht="12" customHeight="1">
      <c r="A29" s="65">
        <f>A28+30</f>
        <v>38650</v>
      </c>
      <c r="B29" s="64">
        <v>0</v>
      </c>
      <c r="C29" s="64"/>
      <c r="D29" s="64">
        <f>Plan2!D29</f>
        <v>489.75</v>
      </c>
      <c r="E29" s="64">
        <f>Plan2!E29</f>
        <v>-75.43</v>
      </c>
      <c r="G29" s="64">
        <f t="shared" si="7"/>
        <v>851.3285613235752</v>
      </c>
      <c r="H29" s="64"/>
      <c r="I29" s="9">
        <f>Plan2!I29</f>
        <v>76.9</v>
      </c>
      <c r="K29" s="64">
        <f t="shared" si="8"/>
        <v>10815.613061962214</v>
      </c>
      <c r="L29" s="67">
        <v>19800</v>
      </c>
      <c r="M29" s="64">
        <f t="shared" si="0"/>
        <v>9964.28450063864</v>
      </c>
      <c r="N29" s="64">
        <f t="shared" si="9"/>
        <v>6868.643061962221</v>
      </c>
      <c r="O29" s="68">
        <v>30</v>
      </c>
      <c r="P29" s="64">
        <f t="shared" si="1"/>
        <v>-8844.34225537707</v>
      </c>
      <c r="Q29" s="64">
        <f t="shared" si="10"/>
        <v>18808.62675601571</v>
      </c>
      <c r="R29" s="69"/>
      <c r="S29" s="55">
        <f>Plan2!L29</f>
        <v>0.09350262941329013</v>
      </c>
      <c r="U29" s="64">
        <f t="shared" si="2"/>
        <v>10815.613061962214</v>
      </c>
      <c r="V29" s="64">
        <f t="shared" si="3"/>
        <v>9964.28450063864</v>
      </c>
      <c r="W29" s="64">
        <f t="shared" si="4"/>
        <v>851.3285613235748</v>
      </c>
      <c r="X29" s="64">
        <f t="shared" si="5"/>
        <v>851.3285613235752</v>
      </c>
      <c r="Y29" s="64">
        <f t="shared" si="6"/>
        <v>0</v>
      </c>
    </row>
    <row r="30" spans="1:25" ht="12" customHeight="1">
      <c r="A30" s="65">
        <f>A29+31</f>
        <v>38681</v>
      </c>
      <c r="B30" s="64">
        <v>0</v>
      </c>
      <c r="C30" s="64"/>
      <c r="D30" s="64">
        <f>Plan2!D30</f>
        <v>503.48</v>
      </c>
      <c r="E30" s="64">
        <f>Plan2!E30</f>
        <v>-157.15</v>
      </c>
      <c r="G30" s="64">
        <f t="shared" si="7"/>
        <v>915.4504567382849</v>
      </c>
      <c r="I30" s="9">
        <f>Plan2!I30</f>
        <v>1320.04</v>
      </c>
      <c r="K30" s="64">
        <f t="shared" si="8"/>
        <v>10757.3535187005</v>
      </c>
      <c r="L30" s="67">
        <v>19800</v>
      </c>
      <c r="M30" s="64">
        <f t="shared" si="0"/>
        <v>9841.903061962215</v>
      </c>
      <c r="N30" s="64">
        <f t="shared" si="9"/>
        <v>7784.093518700505</v>
      </c>
      <c r="O30" s="68">
        <v>30</v>
      </c>
      <c r="P30" s="64">
        <f t="shared" si="1"/>
        <v>-11284.324500638639</v>
      </c>
      <c r="Q30" s="64">
        <f t="shared" si="10"/>
        <v>21126.227562600856</v>
      </c>
      <c r="R30" s="69"/>
      <c r="S30" s="55">
        <f>Plan2!L30</f>
        <v>0.10182335474482263</v>
      </c>
      <c r="U30" s="64">
        <f t="shared" si="2"/>
        <v>10757.3535187005</v>
      </c>
      <c r="V30" s="64">
        <f t="shared" si="3"/>
        <v>9841.903061962215</v>
      </c>
      <c r="W30" s="64">
        <f t="shared" si="4"/>
        <v>915.4504567382846</v>
      </c>
      <c r="X30" s="64">
        <f t="shared" si="5"/>
        <v>915.4504567382849</v>
      </c>
      <c r="Y30" s="64">
        <f t="shared" si="6"/>
        <v>0</v>
      </c>
    </row>
    <row r="31" spans="1:25" ht="12" customHeight="1">
      <c r="A31" s="65">
        <f>A30+30</f>
        <v>38711</v>
      </c>
      <c r="B31" s="64">
        <v>0</v>
      </c>
      <c r="C31" s="64"/>
      <c r="D31" s="64">
        <f>Plan2!D31</f>
        <v>458.72</v>
      </c>
      <c r="E31" s="64">
        <f>Plan2!E31</f>
        <v>1077.03</v>
      </c>
      <c r="G31" s="64">
        <f t="shared" si="7"/>
        <v>880.3942007624204</v>
      </c>
      <c r="I31" s="9">
        <f>Plan2!I31</f>
        <v>1179.62</v>
      </c>
      <c r="K31" s="64">
        <f t="shared" si="8"/>
        <v>11993.877719462922</v>
      </c>
      <c r="L31" s="67">
        <v>19800</v>
      </c>
      <c r="M31" s="64">
        <f t="shared" si="0"/>
        <v>11113.483518700501</v>
      </c>
      <c r="N31" s="64">
        <f t="shared" si="9"/>
        <v>8664.487719462926</v>
      </c>
      <c r="O31" s="68">
        <v>30</v>
      </c>
      <c r="P31" s="64">
        <f t="shared" si="1"/>
        <v>-11021.523061962216</v>
      </c>
      <c r="Q31" s="64">
        <f t="shared" si="10"/>
        <v>22135.006580662717</v>
      </c>
      <c r="R31" s="69"/>
      <c r="S31" s="55">
        <f>Plan2!L31</f>
        <v>0.08632980452340511</v>
      </c>
      <c r="U31" s="64">
        <f t="shared" si="2"/>
        <v>11993.877719462922</v>
      </c>
      <c r="V31" s="64">
        <f t="shared" si="3"/>
        <v>11113.483518700501</v>
      </c>
      <c r="W31" s="64">
        <f t="shared" si="4"/>
        <v>880.394200762421</v>
      </c>
      <c r="X31" s="64">
        <f t="shared" si="5"/>
        <v>880.3942007624204</v>
      </c>
      <c r="Y31" s="64">
        <f t="shared" si="6"/>
        <v>0</v>
      </c>
    </row>
    <row r="32" spans="1:25" ht="12" customHeight="1">
      <c r="A32" s="65">
        <f>A30+61</f>
        <v>38742</v>
      </c>
      <c r="B32" s="123" t="s">
        <v>50</v>
      </c>
      <c r="C32" s="123"/>
      <c r="D32" s="66">
        <f>SUM(D20:D31)</f>
        <v>11898.359999999997</v>
      </c>
      <c r="E32" s="66">
        <f>SUM(E20:E31)</f>
        <v>1482.48</v>
      </c>
      <c r="G32" s="66">
        <f>SUM(G20:G31)</f>
        <v>8664.487719462926</v>
      </c>
      <c r="I32" s="57">
        <f>SUM(I20:I31)</f>
        <v>10051.449999999997</v>
      </c>
      <c r="K32" s="66">
        <f>K31</f>
        <v>11993.877719462922</v>
      </c>
      <c r="L32" s="67"/>
      <c r="M32" s="66"/>
      <c r="N32" s="64"/>
      <c r="O32" s="68"/>
      <c r="P32" s="64"/>
      <c r="Q32" s="64"/>
      <c r="R32" s="69"/>
      <c r="S32" s="55"/>
      <c r="U32" s="64"/>
      <c r="V32" s="64"/>
      <c r="W32" s="64">
        <f t="shared" si="4"/>
        <v>0</v>
      </c>
      <c r="X32" s="64">
        <v>0</v>
      </c>
      <c r="Y32" s="64">
        <f t="shared" si="6"/>
        <v>0</v>
      </c>
    </row>
    <row r="33" spans="1:25" ht="12" customHeight="1">
      <c r="A33" s="65">
        <f>A31+31</f>
        <v>38742</v>
      </c>
      <c r="B33" s="64">
        <v>0</v>
      </c>
      <c r="D33" s="64">
        <f>Plan2!D32</f>
        <v>428.06</v>
      </c>
      <c r="E33" s="64">
        <f>Plan2!E32</f>
        <v>-301.76</v>
      </c>
      <c r="F33" s="64"/>
      <c r="G33" s="64">
        <f>(K32-I33+E33+D33)*S33</f>
        <v>998.3156871419458</v>
      </c>
      <c r="H33" s="64"/>
      <c r="I33" s="64">
        <f>Plan2!I32</f>
        <v>1842.2</v>
      </c>
      <c r="K33" s="64">
        <f>K31-I33+D33+E33+G33</f>
        <v>11276.293406604866</v>
      </c>
      <c r="L33" s="67">
        <v>19800</v>
      </c>
      <c r="M33" s="64">
        <f t="shared" si="0"/>
        <v>10277.97771946292</v>
      </c>
      <c r="N33" s="64">
        <f>G33</f>
        <v>998.3156871419458</v>
      </c>
      <c r="O33" s="68">
        <v>30</v>
      </c>
      <c r="P33" s="64">
        <f>-M31-I33+J33</f>
        <v>-12955.683518700502</v>
      </c>
      <c r="Q33" s="64">
        <f t="shared" si="10"/>
        <v>23233.661238163422</v>
      </c>
      <c r="R33" s="69"/>
      <c r="S33" s="55">
        <f>Plan2!L32</f>
        <v>0.09713152863247432</v>
      </c>
      <c r="U33" s="64">
        <f t="shared" si="2"/>
        <v>11276.293406604866</v>
      </c>
      <c r="V33" s="64">
        <f t="shared" si="3"/>
        <v>10277.97771946292</v>
      </c>
      <c r="W33" s="64">
        <f t="shared" si="4"/>
        <v>998.3156871419451</v>
      </c>
      <c r="X33" s="64">
        <f t="shared" si="5"/>
        <v>998.3156871419458</v>
      </c>
      <c r="Y33" s="64">
        <f t="shared" si="6"/>
        <v>0</v>
      </c>
    </row>
    <row r="34" spans="1:25" ht="12" customHeight="1">
      <c r="A34" s="65">
        <f>A33+31</f>
        <v>38773</v>
      </c>
      <c r="B34" s="64">
        <v>0</v>
      </c>
      <c r="D34" s="64">
        <f>Plan2!D33</f>
        <v>480.63</v>
      </c>
      <c r="E34" s="64">
        <f>Plan2!E33</f>
        <v>-321.12</v>
      </c>
      <c r="G34" s="64">
        <f t="shared" si="7"/>
        <v>1033.5602836817122</v>
      </c>
      <c r="I34" s="9">
        <f>Plan2!I33</f>
        <v>158.98</v>
      </c>
      <c r="K34" s="64">
        <f t="shared" si="8"/>
        <v>12310.383690286577</v>
      </c>
      <c r="L34" s="67">
        <v>19800</v>
      </c>
      <c r="M34" s="64">
        <f t="shared" si="0"/>
        <v>11276.823406604864</v>
      </c>
      <c r="N34" s="64">
        <f t="shared" si="9"/>
        <v>2031.875970823658</v>
      </c>
      <c r="O34" s="68">
        <v>30</v>
      </c>
      <c r="P34" s="64">
        <f t="shared" si="1"/>
        <v>-10436.95771946292</v>
      </c>
      <c r="Q34" s="64">
        <f t="shared" si="10"/>
        <v>21713.781126067784</v>
      </c>
      <c r="R34" s="69"/>
      <c r="S34" s="55">
        <f>Plan2!L33</f>
        <v>0.10055548060975905</v>
      </c>
      <c r="U34" s="64">
        <f t="shared" si="2"/>
        <v>12310.383690286577</v>
      </c>
      <c r="V34" s="64">
        <f t="shared" si="3"/>
        <v>11276.823406604864</v>
      </c>
      <c r="W34" s="64">
        <f t="shared" si="4"/>
        <v>1033.5602836817125</v>
      </c>
      <c r="X34" s="64">
        <f t="shared" si="5"/>
        <v>1033.5602836817122</v>
      </c>
      <c r="Y34" s="64">
        <f t="shared" si="6"/>
        <v>0</v>
      </c>
    </row>
    <row r="35" spans="1:25" ht="12" customHeight="1">
      <c r="A35" s="65">
        <f>A34+28</f>
        <v>38801</v>
      </c>
      <c r="B35" s="64">
        <v>0</v>
      </c>
      <c r="D35" s="64">
        <f>Plan2!D34</f>
        <v>403.66</v>
      </c>
      <c r="E35" s="64">
        <f>Plan2!E34</f>
        <v>-340.5</v>
      </c>
      <c r="G35" s="64">
        <f t="shared" si="7"/>
        <v>889.6904401467351</v>
      </c>
      <c r="I35" s="9">
        <f>Plan2!I34</f>
        <v>1633.26</v>
      </c>
      <c r="K35" s="64">
        <f t="shared" si="8"/>
        <v>11629.974130433311</v>
      </c>
      <c r="L35" s="67">
        <v>19800</v>
      </c>
      <c r="M35" s="64">
        <f t="shared" si="0"/>
        <v>10740.283690286577</v>
      </c>
      <c r="N35" s="64">
        <f t="shared" si="9"/>
        <v>2921.566410970393</v>
      </c>
      <c r="O35" s="68">
        <v>30</v>
      </c>
      <c r="P35" s="64">
        <f t="shared" si="1"/>
        <v>-12910.083406604865</v>
      </c>
      <c r="Q35" s="64">
        <f t="shared" si="10"/>
        <v>23650.36709689144</v>
      </c>
      <c r="R35" s="69"/>
      <c r="S35" s="55">
        <f>Plan2!L34</f>
        <v>0.09165713319299407</v>
      </c>
      <c r="U35" s="64">
        <f t="shared" si="2"/>
        <v>11629.974130433311</v>
      </c>
      <c r="V35" s="64">
        <f t="shared" si="3"/>
        <v>10740.283690286577</v>
      </c>
      <c r="W35" s="64">
        <f t="shared" si="4"/>
        <v>889.6904401467345</v>
      </c>
      <c r="X35" s="64">
        <f t="shared" si="5"/>
        <v>889.6904401467351</v>
      </c>
      <c r="Y35" s="64">
        <f t="shared" si="6"/>
        <v>0</v>
      </c>
    </row>
    <row r="36" spans="1:25" ht="12" customHeight="1">
      <c r="A36" s="65">
        <f>A35+31</f>
        <v>38832</v>
      </c>
      <c r="B36" s="64">
        <v>0</v>
      </c>
      <c r="D36" s="64">
        <f>Plan2!D35</f>
        <v>467.06</v>
      </c>
      <c r="E36" s="64">
        <f>Plan2!E35</f>
        <v>-302.81</v>
      </c>
      <c r="G36" s="64">
        <f t="shared" si="7"/>
        <v>1052.615975748316</v>
      </c>
      <c r="I36" s="9">
        <f>Plan2!I35</f>
        <v>507.99</v>
      </c>
      <c r="K36" s="64">
        <f t="shared" si="8"/>
        <v>12338.850106181628</v>
      </c>
      <c r="L36" s="67">
        <v>19800</v>
      </c>
      <c r="M36" s="64">
        <f t="shared" si="0"/>
        <v>11286.234130433311</v>
      </c>
      <c r="N36" s="64">
        <f t="shared" si="9"/>
        <v>3974.182386718709</v>
      </c>
      <c r="O36" s="68">
        <v>30</v>
      </c>
      <c r="P36" s="64">
        <f t="shared" si="1"/>
        <v>-11248.273690286576</v>
      </c>
      <c r="Q36" s="64">
        <f>M36-P36</f>
        <v>22534.50782071989</v>
      </c>
      <c r="R36" s="69"/>
      <c r="S36" s="55">
        <f>Plan2!L35</f>
        <v>0.10124672267109003</v>
      </c>
      <c r="U36" s="64">
        <f t="shared" si="2"/>
        <v>12338.850106181628</v>
      </c>
      <c r="V36" s="64">
        <f t="shared" si="3"/>
        <v>11286.234130433311</v>
      </c>
      <c r="W36" s="64">
        <f t="shared" si="4"/>
        <v>1052.6159757483165</v>
      </c>
      <c r="X36" s="64">
        <f t="shared" si="5"/>
        <v>1052.615975748316</v>
      </c>
      <c r="Y36" s="64">
        <f t="shared" si="6"/>
        <v>0</v>
      </c>
    </row>
    <row r="37" spans="1:25" ht="12" customHeight="1">
      <c r="A37" s="65">
        <f>A36+30</f>
        <v>38862</v>
      </c>
      <c r="B37" s="64">
        <v>0</v>
      </c>
      <c r="D37" s="64">
        <f>Plan2!D36</f>
        <v>486</v>
      </c>
      <c r="E37" s="64">
        <f>Plan2!E36</f>
        <v>-328.01</v>
      </c>
      <c r="G37" s="64">
        <f t="shared" si="7"/>
        <v>1101.4870173566474</v>
      </c>
      <c r="I37" s="9">
        <f>Plan2!I36</f>
        <v>0</v>
      </c>
      <c r="K37" s="64">
        <f t="shared" si="8"/>
        <v>13598.327123538274</v>
      </c>
      <c r="L37" s="67">
        <v>19800</v>
      </c>
      <c r="M37" s="64">
        <f t="shared" si="0"/>
        <v>12496.840106181628</v>
      </c>
      <c r="N37" s="64">
        <f t="shared" si="9"/>
        <v>5075.669404075356</v>
      </c>
      <c r="O37" s="68">
        <v>30</v>
      </c>
      <c r="P37" s="64">
        <f t="shared" si="1"/>
        <v>-11286.234130433311</v>
      </c>
      <c r="Q37" s="64">
        <f>M37-P37</f>
        <v>23783.07423661494</v>
      </c>
      <c r="R37" s="69"/>
      <c r="S37" s="55">
        <f>Plan2!L36</f>
        <v>0.0962482912605227</v>
      </c>
      <c r="U37" s="64">
        <f t="shared" si="2"/>
        <v>13598.327123538274</v>
      </c>
      <c r="V37" s="64">
        <f t="shared" si="3"/>
        <v>12496.840106181628</v>
      </c>
      <c r="W37" s="64">
        <f t="shared" si="4"/>
        <v>1101.487017356647</v>
      </c>
      <c r="X37" s="64">
        <f t="shared" si="5"/>
        <v>1101.4870173566474</v>
      </c>
      <c r="Y37" s="64">
        <f t="shared" si="6"/>
        <v>0</v>
      </c>
    </row>
    <row r="38" spans="1:25" ht="12" customHeight="1">
      <c r="A38" s="65">
        <f>A37+31</f>
        <v>38893</v>
      </c>
      <c r="B38" s="64">
        <v>0</v>
      </c>
      <c r="D38" s="64">
        <f>Plan2!D37</f>
        <v>4.88</v>
      </c>
      <c r="E38" s="64">
        <f>Plan2!E37</f>
        <v>23.15</v>
      </c>
      <c r="G38" s="64">
        <f t="shared" si="7"/>
        <v>12.803092664200513</v>
      </c>
      <c r="I38" s="9">
        <f>Plan2!I37</f>
        <v>0</v>
      </c>
      <c r="K38" s="64">
        <f t="shared" si="8"/>
        <v>13639.160216202474</v>
      </c>
      <c r="L38" s="67">
        <v>19800</v>
      </c>
      <c r="M38" s="64">
        <f t="shared" si="0"/>
        <v>13626.357123538273</v>
      </c>
      <c r="N38" s="64">
        <f t="shared" si="9"/>
        <v>5088.472496739557</v>
      </c>
      <c r="O38" s="68">
        <v>30</v>
      </c>
      <c r="P38" s="64">
        <f t="shared" si="1"/>
        <v>-12496.840106181628</v>
      </c>
      <c r="Q38" s="64">
        <f>M38-P38</f>
        <v>26123.197229719903</v>
      </c>
      <c r="R38" s="69"/>
      <c r="S38" s="55">
        <f>Plan2!L37</f>
        <v>0.001022213608257827</v>
      </c>
      <c r="U38" s="64">
        <f t="shared" si="2"/>
        <v>13639.160216202474</v>
      </c>
      <c r="V38" s="64">
        <f t="shared" si="3"/>
        <v>13626.357123538273</v>
      </c>
      <c r="W38" s="64">
        <f t="shared" si="4"/>
        <v>12.803092664200449</v>
      </c>
      <c r="X38" s="64">
        <f t="shared" si="5"/>
        <v>12.803092664200513</v>
      </c>
      <c r="Y38" s="64">
        <f t="shared" si="6"/>
        <v>-6.394884621840902E-14</v>
      </c>
    </row>
    <row r="39" spans="1:25" ht="12" customHeight="1">
      <c r="A39" s="65">
        <f>A38+30</f>
        <v>38923</v>
      </c>
      <c r="B39" s="64">
        <v>0</v>
      </c>
      <c r="D39" s="64">
        <f>Plan2!D38</f>
        <v>0</v>
      </c>
      <c r="E39" s="64">
        <f>Plan2!E38</f>
        <v>0</v>
      </c>
      <c r="G39" s="64">
        <f t="shared" si="7"/>
        <v>0</v>
      </c>
      <c r="I39" s="9">
        <f>Plan2!I38</f>
        <v>0</v>
      </c>
      <c r="K39" s="64">
        <f t="shared" si="8"/>
        <v>13639.160216202474</v>
      </c>
      <c r="L39" s="67"/>
      <c r="M39" s="64">
        <f t="shared" si="0"/>
        <v>13639.160216202474</v>
      </c>
      <c r="N39" s="64">
        <f t="shared" si="9"/>
        <v>5088.472496739557</v>
      </c>
      <c r="O39" s="68">
        <v>30</v>
      </c>
      <c r="P39" s="64">
        <f t="shared" si="1"/>
        <v>-13626.357123538273</v>
      </c>
      <c r="Q39" s="64">
        <f>M39-P39</f>
        <v>27265.51733974075</v>
      </c>
      <c r="R39" s="69"/>
      <c r="S39" s="55">
        <f>Plan2!L38</f>
        <v>0</v>
      </c>
      <c r="U39" s="64">
        <f t="shared" si="2"/>
        <v>13639.160216202474</v>
      </c>
      <c r="V39" s="64">
        <f t="shared" si="3"/>
        <v>13639.160216202474</v>
      </c>
      <c r="W39" s="64">
        <f t="shared" si="4"/>
        <v>0</v>
      </c>
      <c r="X39" s="64">
        <f t="shared" si="5"/>
        <v>0</v>
      </c>
      <c r="Y39" s="64">
        <f t="shared" si="6"/>
        <v>0</v>
      </c>
    </row>
    <row r="40" spans="1:25" ht="12" customHeight="1">
      <c r="A40" s="65">
        <f>A39+31</f>
        <v>38954</v>
      </c>
      <c r="B40" s="64">
        <v>0</v>
      </c>
      <c r="D40" s="64">
        <f>Plan2!D39</f>
        <v>0</v>
      </c>
      <c r="E40" s="64">
        <f>Plan2!E39</f>
        <v>0</v>
      </c>
      <c r="G40" s="64">
        <f t="shared" si="7"/>
        <v>0</v>
      </c>
      <c r="I40" s="9">
        <f>Plan2!I39</f>
        <v>0</v>
      </c>
      <c r="K40" s="64">
        <f t="shared" si="8"/>
        <v>13639.160216202474</v>
      </c>
      <c r="L40" s="67"/>
      <c r="M40" s="64">
        <f t="shared" si="0"/>
        <v>13639.160216202474</v>
      </c>
      <c r="N40" s="64">
        <f t="shared" si="9"/>
        <v>5088.472496739557</v>
      </c>
      <c r="O40" s="68">
        <v>30</v>
      </c>
      <c r="P40" s="64">
        <f t="shared" si="1"/>
        <v>-13639.160216202474</v>
      </c>
      <c r="Q40" s="64">
        <f>M40-P40</f>
        <v>27278.320432404947</v>
      </c>
      <c r="R40" s="69"/>
      <c r="S40" s="55">
        <f>Plan2!L39</f>
        <v>0</v>
      </c>
      <c r="U40" s="64">
        <f t="shared" si="2"/>
        <v>13639.160216202474</v>
      </c>
      <c r="V40" s="64">
        <f t="shared" si="3"/>
        <v>13639.160216202474</v>
      </c>
      <c r="W40" s="64">
        <f t="shared" si="4"/>
        <v>0</v>
      </c>
      <c r="X40" s="64">
        <f t="shared" si="5"/>
        <v>0</v>
      </c>
      <c r="Y40" s="64">
        <f t="shared" si="6"/>
        <v>0</v>
      </c>
    </row>
    <row r="41" spans="4:25" ht="12" customHeight="1">
      <c r="D41" s="57"/>
      <c r="F41" s="59"/>
      <c r="G41" s="64"/>
      <c r="H41" s="60"/>
      <c r="U41" s="64">
        <f>SUM(U33:U40)</f>
        <v>102071.3091056521</v>
      </c>
      <c r="V41" s="64">
        <f>SUM(V33:V40)</f>
        <v>96982.83660891253</v>
      </c>
      <c r="W41" s="64">
        <f t="shared" si="4"/>
        <v>5088.47249673956</v>
      </c>
      <c r="X41" s="64">
        <f t="shared" si="5"/>
        <v>0</v>
      </c>
      <c r="Y41" s="64">
        <f t="shared" si="6"/>
        <v>5088.47249673956</v>
      </c>
    </row>
    <row r="42" spans="1:19" ht="12" customHeight="1">
      <c r="A42" s="71" t="s">
        <v>13</v>
      </c>
      <c r="B42" s="72"/>
      <c r="C42" s="72"/>
      <c r="D42" s="73">
        <f>SUM(D32:D41)</f>
        <v>14168.649999999994</v>
      </c>
      <c r="E42" s="73">
        <f>SUM(E32:E41)</f>
        <v>-88.56999999999996</v>
      </c>
      <c r="F42" s="72"/>
      <c r="G42" s="73">
        <f>SUM(G32:G41)</f>
        <v>13752.960216202482</v>
      </c>
      <c r="H42" s="72"/>
      <c r="I42" s="72">
        <f>SUM(I32:I41)</f>
        <v>14193.879999999997</v>
      </c>
      <c r="J42" s="72"/>
      <c r="K42" s="66">
        <f>K40</f>
        <v>13639.160216202474</v>
      </c>
      <c r="L42" s="57"/>
      <c r="M42" s="66"/>
      <c r="N42" s="66"/>
      <c r="O42" s="68">
        <v>0</v>
      </c>
      <c r="P42" s="64" t="e">
        <f>#REF!-(I42+J42)</f>
        <v>#REF!</v>
      </c>
      <c r="Q42" s="64" t="e">
        <f>M42-P42</f>
        <v>#REF!</v>
      </c>
      <c r="R42" s="64">
        <v>12.9</v>
      </c>
      <c r="S42" s="56">
        <v>12.9</v>
      </c>
    </row>
    <row r="43" spans="4:11" ht="12" customHeight="1">
      <c r="D43" s="64"/>
      <c r="E43" s="64"/>
      <c r="K43" s="64"/>
    </row>
    <row r="44" spans="4:11" ht="12" customHeight="1">
      <c r="D44" s="64"/>
      <c r="E44" s="64"/>
      <c r="K44" s="64"/>
    </row>
    <row r="45" spans="2:11" ht="12" customHeight="1">
      <c r="B45" s="9" t="s">
        <v>51</v>
      </c>
      <c r="K45" s="66">
        <f>D42+E42-I42</f>
        <v>-113.80000000000291</v>
      </c>
    </row>
    <row r="46" spans="2:11" ht="12" customHeight="1">
      <c r="B46" s="74" t="s">
        <v>52</v>
      </c>
      <c r="K46" s="75">
        <f>G42</f>
        <v>13752.960216202482</v>
      </c>
    </row>
    <row r="47" spans="2:11" ht="12" customHeight="1">
      <c r="B47" s="9" t="s">
        <v>53</v>
      </c>
      <c r="K47" s="66">
        <f>SUM(K45:K46)</f>
        <v>13639.16021620248</v>
      </c>
    </row>
    <row r="48" ht="12" customHeight="1">
      <c r="K48" s="57"/>
    </row>
  </sheetData>
  <sheetProtection/>
  <mergeCells count="20">
    <mergeCell ref="A5:D5"/>
    <mergeCell ref="A6:D6"/>
    <mergeCell ref="A7:D7"/>
    <mergeCell ref="A8:D8"/>
    <mergeCell ref="F16:G17"/>
    <mergeCell ref="D16:E17"/>
    <mergeCell ref="B16:C17"/>
    <mergeCell ref="A14:M14"/>
    <mergeCell ref="B15:H15"/>
    <mergeCell ref="I15:J15"/>
    <mergeCell ref="I16:I17"/>
    <mergeCell ref="J16:J17"/>
    <mergeCell ref="K17:K18"/>
    <mergeCell ref="L17:L18"/>
    <mergeCell ref="N15:N17"/>
    <mergeCell ref="B32:C32"/>
    <mergeCell ref="K16:L16"/>
    <mergeCell ref="H16:H17"/>
    <mergeCell ref="K15:L15"/>
    <mergeCell ref="M15:M17"/>
  </mergeCells>
  <printOptions/>
  <pageMargins left="0.49" right="0.44" top="0.984251969" bottom="0.3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9" sqref="A9"/>
    </sheetView>
  </sheetViews>
  <sheetFormatPr defaultColWidth="13.28125" defaultRowHeight="12" customHeight="1"/>
  <cols>
    <col min="1" max="1" width="5.140625" style="1" customWidth="1"/>
    <col min="2" max="2" width="7.7109375" style="1" customWidth="1"/>
    <col min="3" max="3" width="11.7109375" style="1" customWidth="1"/>
    <col min="4" max="16384" width="13.28125" style="1" customWidth="1"/>
  </cols>
  <sheetData>
    <row r="1" spans="1:9" ht="12" customHeight="1">
      <c r="A1" s="26" t="s">
        <v>25</v>
      </c>
      <c r="B1" s="26"/>
      <c r="I1" s="2" t="s">
        <v>57</v>
      </c>
    </row>
    <row r="2" spans="1:9" ht="12" customHeight="1">
      <c r="A2" s="26" t="s">
        <v>31</v>
      </c>
      <c r="B2" s="26"/>
      <c r="I2" s="2" t="s">
        <v>27</v>
      </c>
    </row>
    <row r="3" spans="1:9" ht="12" customHeight="1">
      <c r="A3" s="26" t="s">
        <v>43</v>
      </c>
      <c r="B3" s="26"/>
      <c r="I3" s="2"/>
    </row>
    <row r="4" ht="12" customHeight="1">
      <c r="A4" s="76"/>
    </row>
    <row r="5" spans="1:7" ht="12" customHeight="1">
      <c r="A5" s="95" t="s">
        <v>99</v>
      </c>
      <c r="B5" s="95"/>
      <c r="C5" s="95"/>
      <c r="D5" s="95"/>
      <c r="E5" s="95"/>
      <c r="F5" s="95"/>
      <c r="G5" s="95"/>
    </row>
    <row r="6" spans="1:7" ht="12" customHeight="1">
      <c r="A6" s="95" t="s">
        <v>71</v>
      </c>
      <c r="B6" s="95"/>
      <c r="C6" s="95"/>
      <c r="D6" s="95"/>
      <c r="E6" s="95"/>
      <c r="F6" s="95"/>
      <c r="G6" s="95"/>
    </row>
    <row r="7" spans="1:7" ht="12" customHeight="1">
      <c r="A7" s="95" t="s">
        <v>94</v>
      </c>
      <c r="B7" s="95"/>
      <c r="C7" s="95"/>
      <c r="D7" s="95"/>
      <c r="E7" s="95"/>
      <c r="F7" s="95"/>
      <c r="G7" s="95"/>
    </row>
    <row r="8" spans="1:7" ht="12" customHeight="1">
      <c r="A8" s="95" t="s">
        <v>100</v>
      </c>
      <c r="B8" s="95"/>
      <c r="C8" s="95"/>
      <c r="D8" s="95"/>
      <c r="E8" s="95"/>
      <c r="F8" s="95"/>
      <c r="G8" s="95"/>
    </row>
    <row r="9" ht="12" customHeight="1">
      <c r="A9" s="26"/>
    </row>
    <row r="10" spans="1:4" ht="12" customHeight="1">
      <c r="A10" s="26" t="s">
        <v>55</v>
      </c>
      <c r="B10" s="26"/>
      <c r="C10" s="26"/>
      <c r="D10" s="26"/>
    </row>
    <row r="11" ht="12" customHeight="1">
      <c r="C11" s="26" t="s">
        <v>45</v>
      </c>
    </row>
    <row r="12" ht="12" customHeight="1" thickBot="1"/>
    <row r="13" spans="1:9" ht="9" customHeight="1" thickTop="1">
      <c r="A13" s="125" t="s">
        <v>82</v>
      </c>
      <c r="B13" s="125" t="s">
        <v>56</v>
      </c>
      <c r="C13" s="125" t="s">
        <v>83</v>
      </c>
      <c r="D13" s="125" t="s">
        <v>84</v>
      </c>
      <c r="E13" s="125" t="s">
        <v>85</v>
      </c>
      <c r="F13" s="125" t="s">
        <v>86</v>
      </c>
      <c r="G13" s="125" t="s">
        <v>87</v>
      </c>
      <c r="H13" s="125" t="s">
        <v>88</v>
      </c>
      <c r="I13" s="125" t="s">
        <v>89</v>
      </c>
    </row>
    <row r="14" spans="1:9" ht="9" customHeight="1">
      <c r="A14" s="126"/>
      <c r="B14" s="126"/>
      <c r="C14" s="126"/>
      <c r="D14" s="126"/>
      <c r="E14" s="126"/>
      <c r="F14" s="126"/>
      <c r="G14" s="126"/>
      <c r="H14" s="126"/>
      <c r="I14" s="126"/>
    </row>
    <row r="15" spans="1:9" ht="9" customHeight="1">
      <c r="A15" s="126"/>
      <c r="B15" s="126"/>
      <c r="C15" s="126"/>
      <c r="D15" s="126"/>
      <c r="E15" s="126"/>
      <c r="F15" s="126"/>
      <c r="G15" s="126"/>
      <c r="H15" s="126"/>
      <c r="I15" s="126"/>
    </row>
    <row r="16" spans="1:9" ht="9" customHeight="1">
      <c r="A16" s="126"/>
      <c r="B16" s="126"/>
      <c r="C16" s="126"/>
      <c r="D16" s="126"/>
      <c r="E16" s="126"/>
      <c r="F16" s="126"/>
      <c r="G16" s="126"/>
      <c r="H16" s="126"/>
      <c r="I16" s="126"/>
    </row>
    <row r="17" spans="1:9" ht="9" customHeight="1">
      <c r="A17" s="126"/>
      <c r="B17" s="126"/>
      <c r="C17" s="126"/>
      <c r="D17" s="126"/>
      <c r="E17" s="126"/>
      <c r="F17" s="126"/>
      <c r="G17" s="126"/>
      <c r="H17" s="126"/>
      <c r="I17" s="126"/>
    </row>
    <row r="18" spans="1:9" ht="9" customHeight="1">
      <c r="A18" s="126"/>
      <c r="B18" s="126"/>
      <c r="C18" s="126"/>
      <c r="D18" s="126"/>
      <c r="E18" s="126"/>
      <c r="F18" s="126"/>
      <c r="G18" s="126"/>
      <c r="H18" s="126"/>
      <c r="I18" s="126"/>
    </row>
    <row r="19" spans="1:9" ht="9" customHeight="1">
      <c r="A19" s="126"/>
      <c r="B19" s="126"/>
      <c r="C19" s="126"/>
      <c r="D19" s="126"/>
      <c r="E19" s="126"/>
      <c r="F19" s="126"/>
      <c r="G19" s="126"/>
      <c r="H19" s="126"/>
      <c r="I19" s="126"/>
    </row>
    <row r="20" spans="1:9" ht="9" customHeight="1" thickBot="1">
      <c r="A20" s="127"/>
      <c r="B20" s="127"/>
      <c r="C20" s="127"/>
      <c r="D20" s="127"/>
      <c r="E20" s="127"/>
      <c r="F20" s="127"/>
      <c r="G20" s="127"/>
      <c r="H20" s="127"/>
      <c r="I20" s="127"/>
    </row>
    <row r="21" spans="1:9" ht="12" customHeight="1" thickTop="1">
      <c r="A21" s="62"/>
      <c r="B21" s="62"/>
      <c r="C21" s="62"/>
      <c r="D21" s="62"/>
      <c r="E21" s="62"/>
      <c r="F21" s="62"/>
      <c r="G21" s="62"/>
      <c r="H21" s="62"/>
      <c r="I21" s="77"/>
    </row>
    <row r="22" spans="1:9" ht="12" customHeight="1">
      <c r="A22" s="78">
        <v>1</v>
      </c>
      <c r="B22" s="79">
        <v>38954</v>
      </c>
      <c r="C22" s="42">
        <f>Plan3!K47</f>
        <v>13639.16021620248</v>
      </c>
      <c r="D22" s="80">
        <v>35.027617</v>
      </c>
      <c r="E22" s="81">
        <v>59.150213</v>
      </c>
      <c r="F22" s="42">
        <f>C22/D22*E22</f>
        <v>23032.09013417906</v>
      </c>
      <c r="G22" s="82">
        <v>82</v>
      </c>
      <c r="H22" s="42">
        <f>F22*G22/100</f>
        <v>18886.31391002683</v>
      </c>
      <c r="I22" s="42">
        <f>F22+H22</f>
        <v>41918.40404420589</v>
      </c>
    </row>
    <row r="23" spans="1:9" ht="12" customHeight="1">
      <c r="A23" s="78"/>
      <c r="B23" s="79"/>
      <c r="C23" s="42"/>
      <c r="D23" s="80"/>
      <c r="E23" s="81"/>
      <c r="F23" s="42"/>
      <c r="G23" s="42"/>
      <c r="H23" s="42"/>
      <c r="I23" s="42"/>
    </row>
    <row r="24" spans="1:9" ht="12" customHeight="1">
      <c r="A24" s="83"/>
      <c r="B24" s="84"/>
      <c r="C24" s="85"/>
      <c r="D24" s="85"/>
      <c r="E24" s="85"/>
      <c r="F24" s="85">
        <f>SUM(F22:F23)</f>
        <v>23032.09013417906</v>
      </c>
      <c r="G24" s="85"/>
      <c r="H24" s="85">
        <f>SUM(H22:H23)</f>
        <v>18886.31391002683</v>
      </c>
      <c r="I24" s="85">
        <f>SUM(I22:I23)</f>
        <v>41918.40404420589</v>
      </c>
    </row>
  </sheetData>
  <sheetProtection/>
  <mergeCells count="13">
    <mergeCell ref="D13:D20"/>
    <mergeCell ref="E13:E20"/>
    <mergeCell ref="F13:F20"/>
    <mergeCell ref="G13:G20"/>
    <mergeCell ref="H13:H20"/>
    <mergeCell ref="I13:I20"/>
    <mergeCell ref="A5:G5"/>
    <mergeCell ref="A6:G6"/>
    <mergeCell ref="A7:G7"/>
    <mergeCell ref="A8:G8"/>
    <mergeCell ref="A13:A20"/>
    <mergeCell ref="B13:B20"/>
    <mergeCell ref="C13:C2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9" sqref="A9"/>
    </sheetView>
  </sheetViews>
  <sheetFormatPr defaultColWidth="9.140625" defaultRowHeight="12" customHeight="1"/>
  <cols>
    <col min="1" max="1" width="1.7109375" style="1" customWidth="1"/>
    <col min="2" max="2" width="9.140625" style="1" customWidth="1"/>
    <col min="3" max="3" width="42.7109375" style="1" customWidth="1"/>
    <col min="4" max="4" width="2.421875" style="1" customWidth="1"/>
    <col min="5" max="5" width="10.140625" style="1" customWidth="1"/>
    <col min="6" max="6" width="2.00390625" style="1" customWidth="1"/>
    <col min="7" max="10" width="9.140625" style="1" customWidth="1"/>
    <col min="11" max="11" width="10.8515625" style="1" bestFit="1" customWidth="1"/>
    <col min="12" max="16384" width="9.140625" style="1" customWidth="1"/>
  </cols>
  <sheetData>
    <row r="1" spans="1:5" ht="12" customHeight="1">
      <c r="A1" s="1" t="s">
        <v>25</v>
      </c>
      <c r="D1" s="2"/>
      <c r="E1" s="2" t="s">
        <v>54</v>
      </c>
    </row>
    <row r="2" spans="1:5" ht="12" customHeight="1">
      <c r="A2" s="1" t="s">
        <v>31</v>
      </c>
      <c r="D2" s="2"/>
      <c r="E2" s="2" t="s">
        <v>37</v>
      </c>
    </row>
    <row r="3" spans="1:4" ht="12" customHeight="1">
      <c r="A3" s="26" t="s">
        <v>43</v>
      </c>
      <c r="B3" s="26"/>
      <c r="C3" s="26"/>
      <c r="D3" s="26"/>
    </row>
    <row r="5" spans="1:5" s="88" customFormat="1" ht="12" customHeight="1">
      <c r="A5" s="95" t="s">
        <v>101</v>
      </c>
      <c r="B5" s="95"/>
      <c r="C5" s="95"/>
      <c r="D5" s="87"/>
      <c r="E5" s="87"/>
    </row>
    <row r="6" spans="1:5" s="88" customFormat="1" ht="12" customHeight="1">
      <c r="A6" s="95" t="s">
        <v>71</v>
      </c>
      <c r="B6" s="95"/>
      <c r="C6" s="95"/>
      <c r="D6" s="87"/>
      <c r="E6" s="87"/>
    </row>
    <row r="7" spans="1:5" s="88" customFormat="1" ht="12" customHeight="1">
      <c r="A7" s="95" t="s">
        <v>94</v>
      </c>
      <c r="B7" s="95"/>
      <c r="C7" s="95"/>
      <c r="D7" s="87"/>
      <c r="E7" s="87"/>
    </row>
    <row r="8" spans="1:5" s="88" customFormat="1" ht="12" customHeight="1">
      <c r="A8" s="95" t="s">
        <v>102</v>
      </c>
      <c r="B8" s="95"/>
      <c r="C8" s="95"/>
      <c r="D8" s="87"/>
      <c r="E8" s="87"/>
    </row>
    <row r="9" spans="1:5" ht="12" customHeight="1">
      <c r="A9" s="36"/>
      <c r="B9" s="36"/>
      <c r="C9" s="36"/>
      <c r="D9" s="36"/>
      <c r="E9" s="36"/>
    </row>
    <row r="10" spans="1:5" ht="12" customHeight="1">
      <c r="A10" s="36"/>
      <c r="B10" s="36"/>
      <c r="C10" s="36"/>
      <c r="D10" s="36"/>
      <c r="E10" s="36"/>
    </row>
    <row r="11" ht="12" customHeight="1">
      <c r="D11" s="2"/>
    </row>
    <row r="12" spans="1:6" ht="12" customHeight="1">
      <c r="A12" s="128" t="s">
        <v>63</v>
      </c>
      <c r="B12" s="128"/>
      <c r="C12" s="128"/>
      <c r="D12" s="128"/>
      <c r="E12" s="128"/>
      <c r="F12" s="128"/>
    </row>
    <row r="13" spans="1:6" ht="12" customHeight="1">
      <c r="A13" s="86"/>
      <c r="B13" s="86"/>
      <c r="C13" s="86"/>
      <c r="D13" s="86"/>
      <c r="E13" s="86"/>
      <c r="F13" s="86"/>
    </row>
    <row r="14" ht="12" customHeight="1">
      <c r="D14" s="2"/>
    </row>
    <row r="15" spans="1:6" ht="12" customHeight="1">
      <c r="A15" s="3"/>
      <c r="B15" s="4"/>
      <c r="C15" s="4"/>
      <c r="D15" s="5"/>
      <c r="E15" s="4"/>
      <c r="F15" s="6"/>
    </row>
    <row r="16" spans="1:6" ht="12" customHeight="1">
      <c r="A16" s="7"/>
      <c r="B16" s="8" t="s">
        <v>38</v>
      </c>
      <c r="C16" s="9"/>
      <c r="D16" s="10"/>
      <c r="E16" s="11" t="s">
        <v>39</v>
      </c>
      <c r="F16" s="12"/>
    </row>
    <row r="17" spans="1:6" ht="12" customHeight="1">
      <c r="A17" s="7"/>
      <c r="B17" s="9"/>
      <c r="C17" s="9"/>
      <c r="D17" s="13"/>
      <c r="E17" s="11" t="s">
        <v>40</v>
      </c>
      <c r="F17" s="12"/>
    </row>
    <row r="18" spans="1:6" ht="12" customHeight="1">
      <c r="A18" s="7"/>
      <c r="B18" s="9"/>
      <c r="C18" s="9"/>
      <c r="D18" s="13"/>
      <c r="E18" s="10"/>
      <c r="F18" s="12"/>
    </row>
    <row r="19" spans="1:6" ht="12" customHeight="1">
      <c r="A19" s="7"/>
      <c r="B19" s="9"/>
      <c r="C19" s="9"/>
      <c r="D19" s="13"/>
      <c r="E19" s="10"/>
      <c r="F19" s="12"/>
    </row>
    <row r="20" spans="1:6" ht="12" customHeight="1">
      <c r="A20" s="7"/>
      <c r="B20" s="9"/>
      <c r="C20" s="9"/>
      <c r="D20" s="14"/>
      <c r="E20" s="9"/>
      <c r="F20" s="12"/>
    </row>
    <row r="21" spans="1:6" ht="12" customHeight="1">
      <c r="A21" s="7"/>
      <c r="B21" s="15" t="s">
        <v>58</v>
      </c>
      <c r="C21" s="15"/>
      <c r="D21" s="14" t="s">
        <v>59</v>
      </c>
      <c r="E21" s="16">
        <f>Plan4!C22</f>
        <v>13639.16021620248</v>
      </c>
      <c r="F21" s="12"/>
    </row>
    <row r="22" spans="1:6" ht="12" customHeight="1">
      <c r="A22" s="7"/>
      <c r="B22" s="17"/>
      <c r="C22" s="15"/>
      <c r="D22" s="14"/>
      <c r="E22" s="18"/>
      <c r="F22" s="12"/>
    </row>
    <row r="23" spans="1:6" ht="12" customHeight="1">
      <c r="A23" s="7"/>
      <c r="B23" s="15"/>
      <c r="C23" s="15"/>
      <c r="D23" s="14"/>
      <c r="E23" s="16"/>
      <c r="F23" s="12"/>
    </row>
    <row r="24" spans="1:6" ht="12" customHeight="1">
      <c r="A24" s="7"/>
      <c r="B24" s="15" t="s">
        <v>60</v>
      </c>
      <c r="C24" s="15"/>
      <c r="D24" s="14" t="s">
        <v>59</v>
      </c>
      <c r="E24" s="16">
        <f>Plan4!F22-E21</f>
        <v>9392.92991797658</v>
      </c>
      <c r="F24" s="12"/>
    </row>
    <row r="25" spans="1:6" ht="12" customHeight="1">
      <c r="A25" s="7"/>
      <c r="B25" s="9"/>
      <c r="C25" s="9"/>
      <c r="D25" s="14"/>
      <c r="E25" s="19"/>
      <c r="F25" s="12"/>
    </row>
    <row r="26" spans="1:6" ht="12" customHeight="1">
      <c r="A26" s="7"/>
      <c r="B26" s="17" t="s">
        <v>61</v>
      </c>
      <c r="C26" s="15"/>
      <c r="D26" s="27" t="s">
        <v>59</v>
      </c>
      <c r="E26" s="28">
        <f>Plan4!H22</f>
        <v>18886.31391002683</v>
      </c>
      <c r="F26" s="12"/>
    </row>
    <row r="27" spans="1:6" ht="12" customHeight="1">
      <c r="A27" s="7"/>
      <c r="B27" s="17"/>
      <c r="C27" s="15"/>
      <c r="D27" s="27"/>
      <c r="E27" s="28"/>
      <c r="F27" s="12"/>
    </row>
    <row r="28" spans="1:6" ht="12" customHeight="1">
      <c r="A28" s="7"/>
      <c r="B28" s="29" t="s">
        <v>62</v>
      </c>
      <c r="C28" s="30"/>
      <c r="D28" s="31" t="s">
        <v>59</v>
      </c>
      <c r="E28" s="32">
        <f>SUM(E20:E27)</f>
        <v>41918.40404420589</v>
      </c>
      <c r="F28" s="12"/>
    </row>
    <row r="29" spans="1:6" ht="12" customHeight="1">
      <c r="A29" s="7"/>
      <c r="B29" s="29"/>
      <c r="C29" s="30"/>
      <c r="D29" s="31"/>
      <c r="E29" s="32"/>
      <c r="F29" s="12"/>
    </row>
    <row r="30" spans="1:6" ht="12" customHeight="1">
      <c r="A30" s="7"/>
      <c r="B30" s="17" t="s">
        <v>64</v>
      </c>
      <c r="C30" s="30"/>
      <c r="D30" s="31"/>
      <c r="E30" s="33">
        <f>E28*2/100</f>
        <v>838.3680808841178</v>
      </c>
      <c r="F30" s="12"/>
    </row>
    <row r="31" spans="1:6" ht="12" customHeight="1">
      <c r="A31" s="7"/>
      <c r="B31" s="29"/>
      <c r="C31" s="30"/>
      <c r="D31" s="31"/>
      <c r="E31" s="32"/>
      <c r="F31" s="12"/>
    </row>
    <row r="32" spans="1:6" ht="12" customHeight="1">
      <c r="A32" s="7"/>
      <c r="B32" s="29" t="s">
        <v>65</v>
      </c>
      <c r="C32" s="30"/>
      <c r="D32" s="31" t="s">
        <v>59</v>
      </c>
      <c r="E32" s="32">
        <f>SUM(E28:E31)</f>
        <v>42756.77212509001</v>
      </c>
      <c r="F32" s="12"/>
    </row>
    <row r="33" spans="1:6" ht="12" customHeight="1">
      <c r="A33" s="20"/>
      <c r="B33" s="21"/>
      <c r="C33" s="21"/>
      <c r="D33" s="22"/>
      <c r="E33" s="23"/>
      <c r="F33" s="24"/>
    </row>
    <row r="34" spans="4:5" ht="12" customHeight="1">
      <c r="D34" s="2"/>
      <c r="E34" s="25"/>
    </row>
  </sheetData>
  <sheetProtection/>
  <mergeCells count="5">
    <mergeCell ref="A12:F12"/>
    <mergeCell ref="A5:C5"/>
    <mergeCell ref="A6:C6"/>
    <mergeCell ref="A7:C7"/>
    <mergeCell ref="A8:C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PageLayoutView="0" workbookViewId="0" topLeftCell="A1">
      <selection activeCell="F25" sqref="F25"/>
    </sheetView>
  </sheetViews>
  <sheetFormatPr defaultColWidth="9.140625" defaultRowHeight="12" customHeight="1"/>
  <cols>
    <col min="1" max="1" width="2.57421875" style="1" customWidth="1"/>
    <col min="2" max="2" width="15.421875" style="1" customWidth="1"/>
    <col min="3" max="3" width="13.8515625" style="1" customWidth="1"/>
    <col min="4" max="16384" width="9.140625" style="1" customWidth="1"/>
  </cols>
  <sheetData>
    <row r="1" ht="12" customHeight="1">
      <c r="B1" s="26" t="s">
        <v>25</v>
      </c>
    </row>
    <row r="2" ht="12" customHeight="1">
      <c r="B2" s="26" t="s">
        <v>31</v>
      </c>
    </row>
    <row r="3" ht="12" customHeight="1">
      <c r="B3" s="26" t="s">
        <v>43</v>
      </c>
    </row>
    <row r="5" spans="2:6" ht="12" customHeight="1">
      <c r="B5" s="95" t="s">
        <v>103</v>
      </c>
      <c r="C5" s="95"/>
      <c r="D5" s="95"/>
      <c r="E5" s="95"/>
      <c r="F5" s="95"/>
    </row>
    <row r="6" spans="2:6" ht="12" customHeight="1">
      <c r="B6" s="95" t="s">
        <v>71</v>
      </c>
      <c r="C6" s="95"/>
      <c r="D6" s="95"/>
      <c r="E6" s="95"/>
      <c r="F6" s="95"/>
    </row>
    <row r="7" spans="2:6" ht="12" customHeight="1">
      <c r="B7" s="95" t="s">
        <v>104</v>
      </c>
      <c r="C7" s="95"/>
      <c r="D7" s="95"/>
      <c r="E7" s="95"/>
      <c r="F7" s="95"/>
    </row>
    <row r="8" spans="2:6" ht="12" customHeight="1">
      <c r="B8" s="95" t="s">
        <v>105</v>
      </c>
      <c r="C8" s="95"/>
      <c r="D8" s="95"/>
      <c r="E8" s="95"/>
      <c r="F8" s="95"/>
    </row>
    <row r="10" ht="12" customHeight="1">
      <c r="B10" s="26" t="s">
        <v>49</v>
      </c>
    </row>
    <row r="11" ht="12" customHeight="1">
      <c r="B11" s="26" t="s">
        <v>45</v>
      </c>
    </row>
    <row r="14" spans="2:3" ht="12" customHeight="1">
      <c r="B14" s="129" t="s">
        <v>74</v>
      </c>
      <c r="C14" s="130"/>
    </row>
    <row r="15" spans="2:3" ht="12" customHeight="1">
      <c r="B15" s="54" t="s">
        <v>67</v>
      </c>
      <c r="C15" s="38" t="s">
        <v>66</v>
      </c>
    </row>
    <row r="16" spans="2:3" ht="12" customHeight="1">
      <c r="B16" s="41">
        <v>38377</v>
      </c>
      <c r="C16" s="89">
        <f>Plan2!L20</f>
        <v>0.07440427260134164</v>
      </c>
    </row>
    <row r="17" spans="2:4" ht="12" customHeight="1">
      <c r="B17" s="41">
        <f>B16+31</f>
        <v>38408</v>
      </c>
      <c r="C17" s="89">
        <f>Plan2!L21</f>
        <v>0.11599653496936013</v>
      </c>
      <c r="D17" s="40"/>
    </row>
    <row r="18" spans="2:4" ht="12" customHeight="1">
      <c r="B18" s="41">
        <f>B17+28</f>
        <v>38436</v>
      </c>
      <c r="C18" s="89">
        <f>Plan2!L22</f>
        <v>0.09049015500628399</v>
      </c>
      <c r="D18" s="40"/>
    </row>
    <row r="19" spans="2:3" ht="12" customHeight="1">
      <c r="B19" s="41">
        <f>B18+31</f>
        <v>38467</v>
      </c>
      <c r="C19" s="89">
        <f>Plan2!L23</f>
        <v>0.10131931008634765</v>
      </c>
    </row>
    <row r="20" spans="2:3" ht="12" customHeight="1">
      <c r="B20" s="41">
        <f>B19+30</f>
        <v>38497</v>
      </c>
      <c r="C20" s="89">
        <f>Plan2!L24</f>
        <v>0.09593180343810248</v>
      </c>
    </row>
    <row r="21" spans="2:3" ht="12" customHeight="1">
      <c r="B21" s="41">
        <f>B20+31</f>
        <v>38528</v>
      </c>
      <c r="C21" s="89">
        <f>Plan2!L25</f>
        <v>0.09800268523936873</v>
      </c>
    </row>
    <row r="22" spans="2:3" ht="12" customHeight="1">
      <c r="B22" s="41">
        <f>B21+30</f>
        <v>38558</v>
      </c>
      <c r="C22" s="89">
        <f>Plan2!L26</f>
        <v>0.09848640998158675</v>
      </c>
    </row>
    <row r="23" spans="2:3" ht="12" customHeight="1">
      <c r="B23" s="41">
        <f>B22+31</f>
        <v>38589</v>
      </c>
      <c r="C23" s="89">
        <f>Plan2!L27</f>
        <v>0.09979191395506914</v>
      </c>
    </row>
    <row r="24" spans="2:3" ht="12" customHeight="1">
      <c r="B24" s="41">
        <f>B23+31</f>
        <v>38620</v>
      </c>
      <c r="C24" s="89">
        <f>Plan2!L28</f>
        <v>0.10841464002700385</v>
      </c>
    </row>
    <row r="25" spans="2:3" ht="12" customHeight="1">
      <c r="B25" s="41">
        <f>B24+30</f>
        <v>38650</v>
      </c>
      <c r="C25" s="89">
        <f>Plan2!L29</f>
        <v>0.09350262941329013</v>
      </c>
    </row>
    <row r="26" spans="2:3" ht="12" customHeight="1">
      <c r="B26" s="41">
        <f>B25+31</f>
        <v>38681</v>
      </c>
      <c r="C26" s="89">
        <f>Plan2!L30</f>
        <v>0.10182335474482263</v>
      </c>
    </row>
    <row r="27" spans="2:3" ht="12" customHeight="1">
      <c r="B27" s="41">
        <f>B26+30</f>
        <v>38711</v>
      </c>
      <c r="C27" s="89">
        <f>Plan2!L31</f>
        <v>0.08632980452340511</v>
      </c>
    </row>
    <row r="28" spans="2:3" ht="12" customHeight="1">
      <c r="B28" s="41">
        <f>B27+31</f>
        <v>38742</v>
      </c>
      <c r="C28" s="89">
        <f>Plan2!L32</f>
        <v>0.09713152863247432</v>
      </c>
    </row>
    <row r="29" spans="2:3" ht="12" customHeight="1">
      <c r="B29" s="41">
        <f>B28+31</f>
        <v>38773</v>
      </c>
      <c r="C29" s="89">
        <f>Plan2!L33</f>
        <v>0.10055548060975905</v>
      </c>
    </row>
    <row r="30" spans="2:3" ht="12" customHeight="1">
      <c r="B30" s="41">
        <f>B29+28</f>
        <v>38801</v>
      </c>
      <c r="C30" s="89">
        <f>Plan2!L34</f>
        <v>0.09165713319299407</v>
      </c>
    </row>
    <row r="31" spans="2:3" ht="12" customHeight="1">
      <c r="B31" s="41">
        <f>B30+31</f>
        <v>38832</v>
      </c>
      <c r="C31" s="89">
        <f>Plan2!L35</f>
        <v>0.10124672267109003</v>
      </c>
    </row>
    <row r="32" spans="2:3" ht="12" customHeight="1">
      <c r="B32" s="41">
        <f>B31+30</f>
        <v>38862</v>
      </c>
      <c r="C32" s="89">
        <f>Plan2!L36</f>
        <v>0.0962482912605227</v>
      </c>
    </row>
    <row r="33" spans="2:3" ht="12" customHeight="1">
      <c r="B33" s="41">
        <f>B32+31</f>
        <v>38893</v>
      </c>
      <c r="C33" s="89">
        <f>Plan2!L37</f>
        <v>0.001022213608257827</v>
      </c>
    </row>
    <row r="34" spans="2:3" ht="12" customHeight="1">
      <c r="B34" s="41">
        <f>B33+30</f>
        <v>38923</v>
      </c>
      <c r="C34" s="89">
        <f>Plan2!L38</f>
        <v>0</v>
      </c>
    </row>
    <row r="35" spans="2:3" ht="12" customHeight="1">
      <c r="B35" s="41">
        <f>B34+31</f>
        <v>38954</v>
      </c>
      <c r="C35" s="89">
        <f>Plan2!L39</f>
        <v>0</v>
      </c>
    </row>
  </sheetData>
  <sheetProtection/>
  <mergeCells count="5">
    <mergeCell ref="B14:C14"/>
    <mergeCell ref="B5:F5"/>
    <mergeCell ref="B6:F6"/>
    <mergeCell ref="B7:F7"/>
    <mergeCell ref="B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User</cp:lastModifiedBy>
  <cp:lastPrinted>2016-02-23T12:12:36Z</cp:lastPrinted>
  <dcterms:created xsi:type="dcterms:W3CDTF">2006-10-03T21:31:50Z</dcterms:created>
  <dcterms:modified xsi:type="dcterms:W3CDTF">2016-02-25T12:57:15Z</dcterms:modified>
  <cp:category/>
  <cp:version/>
  <cp:contentType/>
  <cp:contentStatus/>
</cp:coreProperties>
</file>